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bakerintl.sharepoint.com/sites/CreechDRPPart22/Shared Documents/General 1/05_Deliverables/07_Design Data/05_Struc/04 Lateral Design/Admin Building/"/>
    </mc:Choice>
  </mc:AlternateContent>
  <xr:revisionPtr revIDLastSave="145" documentId="8_{062480BE-A247-422F-BEEC-D12CCEE75944}" xr6:coauthVersionLast="47" xr6:coauthVersionMax="47" xr10:uidLastSave="{5B850262-ACD7-4CFF-A63A-6D6ECCAFB8E9}"/>
  <bookViews>
    <workbookView xWindow="-120" yWindow="-120" windowWidth="29040" windowHeight="15720" xr2:uid="{00000000-000D-0000-FFFF-FFFF00000000}"/>
  </bookViews>
  <sheets>
    <sheet name="MODULEINPUT" sheetId="1" r:id="rId1"/>
    <sheet name="SCHEDULESUMMARY" sheetId="2" r:id="rId2"/>
    <sheet name="LINTEL1" sheetId="3" r:id="rId3"/>
    <sheet name="LINTEL2" sheetId="4" r:id="rId4"/>
    <sheet name="LINTEL3" sheetId="5" r:id="rId5"/>
    <sheet name="LINTEL4" sheetId="6" r:id="rId6"/>
    <sheet name="LINTEL5" sheetId="7" r:id="rId7"/>
    <sheet name="LINTEL6" sheetId="8" r:id="rId8"/>
    <sheet name="LINTEL7" sheetId="9" r:id="rId9"/>
    <sheet name="LINTEL8" sheetId="10" r:id="rId10"/>
    <sheet name="LINTEL9" sheetId="11" r:id="rId11"/>
    <sheet name="LINTEL10" sheetId="12" r:id="rId12"/>
  </sheets>
  <definedNames>
    <definedName name="index_CC">LINTEL5!$AG$3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1" l="1"/>
  <c r="H22" i="1"/>
  <c r="H21" i="1"/>
  <c r="L37" i="1"/>
  <c r="L38" i="1"/>
  <c r="J23" i="1"/>
  <c r="I8" i="5" s="1"/>
  <c r="U6" i="5" s="1"/>
  <c r="I23" i="1"/>
  <c r="H23" i="1"/>
  <c r="I6" i="5" s="1"/>
  <c r="U4" i="5" s="1"/>
  <c r="F13" i="4"/>
  <c r="Q9" i="4" s="1"/>
  <c r="F13" i="3"/>
  <c r="Q9" i="3" s="1"/>
  <c r="F7" i="3"/>
  <c r="P4" i="1"/>
  <c r="J21" i="1"/>
  <c r="I8" i="3" s="1"/>
  <c r="U6" i="3" s="1"/>
  <c r="C6" i="4"/>
  <c r="M4" i="4" s="1"/>
  <c r="C6" i="3"/>
  <c r="M4" i="3" s="1"/>
  <c r="K31" i="2"/>
  <c r="C12" i="3"/>
  <c r="C11" i="3"/>
  <c r="C10" i="3"/>
  <c r="M8" i="3" s="1"/>
  <c r="C9" i="3"/>
  <c r="M7" i="3" s="1"/>
  <c r="S15" i="3" s="1"/>
  <c r="C8" i="3"/>
  <c r="M6" i="3" s="1"/>
  <c r="AS7" i="3" s="1"/>
  <c r="AS8" i="3" s="1"/>
  <c r="AS27" i="3" s="1"/>
  <c r="C7" i="3"/>
  <c r="X4" i="3" s="1"/>
  <c r="M10" i="3"/>
  <c r="X12" i="3"/>
  <c r="Y20" i="3" s="1"/>
  <c r="F8" i="3"/>
  <c r="A9" i="2"/>
  <c r="A10" i="2"/>
  <c r="A12" i="2"/>
  <c r="H12" i="2" s="1"/>
  <c r="A33" i="2" s="1"/>
  <c r="A13" i="2"/>
  <c r="A14" i="2"/>
  <c r="H14" i="2" s="1"/>
  <c r="A35" i="2" s="1"/>
  <c r="F35" i="2" s="1"/>
  <c r="A15" i="2"/>
  <c r="A16" i="2"/>
  <c r="A17" i="2"/>
  <c r="A18" i="2"/>
  <c r="A11" i="2"/>
  <c r="H11" i="2" s="1"/>
  <c r="A32" i="2" s="1"/>
  <c r="A37" i="1"/>
  <c r="A38" i="1"/>
  <c r="A39" i="1"/>
  <c r="A40" i="1"/>
  <c r="A41" i="1"/>
  <c r="A42" i="1"/>
  <c r="A43" i="1"/>
  <c r="A44" i="1"/>
  <c r="A35" i="1"/>
  <c r="Y98" i="12"/>
  <c r="Y84" i="12"/>
  <c r="H40" i="12"/>
  <c r="H39" i="12"/>
  <c r="D39" i="12"/>
  <c r="C39" i="12"/>
  <c r="M33" i="12"/>
  <c r="M32" i="12"/>
  <c r="AS30" i="12"/>
  <c r="AS26" i="12"/>
  <c r="AK26" i="12"/>
  <c r="M20" i="12"/>
  <c r="AR17" i="12"/>
  <c r="F14" i="12"/>
  <c r="Q10" i="12" s="1"/>
  <c r="AS13" i="12"/>
  <c r="AR13" i="12"/>
  <c r="AR12" i="12"/>
  <c r="C12" i="12"/>
  <c r="Q11" i="12"/>
  <c r="I11" i="12"/>
  <c r="F11" i="12"/>
  <c r="Q7" i="12" s="1"/>
  <c r="C11" i="12"/>
  <c r="X12" i="12" s="1"/>
  <c r="U10" i="12"/>
  <c r="M10" i="12"/>
  <c r="C10" i="12"/>
  <c r="M8" i="12" s="1"/>
  <c r="AA9" i="12"/>
  <c r="N18" i="12" s="1"/>
  <c r="Y9" i="12"/>
  <c r="AC21" i="12" s="1"/>
  <c r="N15" i="12" s="1"/>
  <c r="M21" i="12" s="1" a="1"/>
  <c r="M21" i="12" s="1"/>
  <c r="U9" i="12"/>
  <c r="M142" i="12" s="1"/>
  <c r="Q9" i="12"/>
  <c r="F9" i="12"/>
  <c r="C9" i="12"/>
  <c r="F8" i="12"/>
  <c r="Q5" i="12" s="1"/>
  <c r="C8" i="12"/>
  <c r="M7" i="12"/>
  <c r="C7" i="12"/>
  <c r="AS6" i="12"/>
  <c r="M6" i="12"/>
  <c r="F6" i="12"/>
  <c r="C6" i="12"/>
  <c r="X4" i="12"/>
  <c r="Z9" i="12" s="1"/>
  <c r="M5" i="12" s="1"/>
  <c r="M4" i="12"/>
  <c r="Q3" i="12"/>
  <c r="M117" i="11"/>
  <c r="H39" i="11"/>
  <c r="D39" i="11"/>
  <c r="M33" i="11"/>
  <c r="AS30" i="11"/>
  <c r="AS26" i="11"/>
  <c r="AK26" i="11"/>
  <c r="M20" i="11"/>
  <c r="AS18" i="11"/>
  <c r="AR17" i="11"/>
  <c r="F14" i="11"/>
  <c r="AS13" i="11"/>
  <c r="AR13" i="11"/>
  <c r="AR12" i="11"/>
  <c r="C12" i="11"/>
  <c r="M10" i="11" s="1"/>
  <c r="Q11" i="11"/>
  <c r="I11" i="11"/>
  <c r="F11" i="11"/>
  <c r="C11" i="11"/>
  <c r="X12" i="11" s="1"/>
  <c r="U10" i="11"/>
  <c r="Y84" i="11" s="1"/>
  <c r="C10" i="11"/>
  <c r="M8" i="11" s="1"/>
  <c r="AS17" i="11" s="1"/>
  <c r="AS9" i="11"/>
  <c r="AS10" i="11" s="1"/>
  <c r="AA9" i="11"/>
  <c r="U9" i="11"/>
  <c r="M142" i="11" s="1"/>
  <c r="Q9" i="11"/>
  <c r="F9" i="11"/>
  <c r="Q6" i="11" s="1"/>
  <c r="C9" i="11"/>
  <c r="M7" i="11" s="1"/>
  <c r="AS8" i="11"/>
  <c r="AS27" i="11" s="1"/>
  <c r="F8" i="11"/>
  <c r="Q5" i="11" s="1"/>
  <c r="C8" i="11"/>
  <c r="M6" i="11" s="1"/>
  <c r="AS7" i="11" s="1"/>
  <c r="Q7" i="11"/>
  <c r="F7" i="11"/>
  <c r="C7" i="11"/>
  <c r="X4" i="11" s="1"/>
  <c r="AS6" i="11"/>
  <c r="F6" i="11"/>
  <c r="C39" i="11" s="1"/>
  <c r="C6" i="11"/>
  <c r="M4" i="11" s="1"/>
  <c r="Q3" i="11"/>
  <c r="Y70" i="11" s="1"/>
  <c r="Y105" i="10"/>
  <c r="AI18" i="10" s="1"/>
  <c r="Y70" i="10"/>
  <c r="M70" i="10"/>
  <c r="M69" i="10"/>
  <c r="D39" i="10"/>
  <c r="AS30" i="10"/>
  <c r="AS26" i="10"/>
  <c r="AK26" i="10"/>
  <c r="AA20" i="10"/>
  <c r="M20" i="10"/>
  <c r="AR17" i="10"/>
  <c r="S15" i="10"/>
  <c r="F14" i="10"/>
  <c r="Q10" i="10" s="1"/>
  <c r="AS13" i="10"/>
  <c r="AR13" i="10"/>
  <c r="AR12" i="10"/>
  <c r="C12" i="10"/>
  <c r="M10" i="10" s="1"/>
  <c r="Q11" i="10"/>
  <c r="H40" i="10" s="1"/>
  <c r="I11" i="10"/>
  <c r="F11" i="10"/>
  <c r="C11" i="10"/>
  <c r="X12" i="10" s="1"/>
  <c r="U10" i="10"/>
  <c r="M33" i="10" s="1"/>
  <c r="C10" i="10"/>
  <c r="U9" i="10"/>
  <c r="M142" i="10" s="1"/>
  <c r="Q9" i="10"/>
  <c r="M32" i="10" s="1"/>
  <c r="F9" i="10"/>
  <c r="C9" i="10"/>
  <c r="M7" i="10" s="1"/>
  <c r="M8" i="10"/>
  <c r="F8" i="10"/>
  <c r="C8" i="10"/>
  <c r="M6" i="10" s="1"/>
  <c r="F7" i="10"/>
  <c r="C40" i="10" s="1"/>
  <c r="C7" i="10"/>
  <c r="X4" i="10" s="1"/>
  <c r="AS6" i="10"/>
  <c r="Q6" i="10"/>
  <c r="F6" i="10"/>
  <c r="C39" i="10" s="1"/>
  <c r="C6" i="10"/>
  <c r="M4" i="10" s="1"/>
  <c r="M118" i="10" s="1"/>
  <c r="Q5" i="10"/>
  <c r="Q4" i="10"/>
  <c r="Y83" i="10" s="1"/>
  <c r="Q3" i="10"/>
  <c r="Y82" i="10" s="1"/>
  <c r="Y105" i="9"/>
  <c r="AI18" i="9" s="1"/>
  <c r="D39" i="9"/>
  <c r="AS30" i="9"/>
  <c r="AS26" i="9"/>
  <c r="AK26" i="9"/>
  <c r="AA20" i="9"/>
  <c r="Y20" i="9"/>
  <c r="M20" i="9"/>
  <c r="AR17" i="9"/>
  <c r="N16" i="9"/>
  <c r="F14" i="9"/>
  <c r="Q10" i="9" s="1"/>
  <c r="M32" i="9" s="1"/>
  <c r="AS13" i="9"/>
  <c r="AR13" i="9"/>
  <c r="AR12" i="9"/>
  <c r="X12" i="9"/>
  <c r="AC20" i="9" s="1"/>
  <c r="C12" i="9"/>
  <c r="M10" i="9" s="1"/>
  <c r="AS11" i="9"/>
  <c r="Q11" i="9"/>
  <c r="I11" i="9"/>
  <c r="U9" i="9" s="1"/>
  <c r="M142" i="9" s="1"/>
  <c r="F11" i="9"/>
  <c r="C11" i="9"/>
  <c r="U10" i="9"/>
  <c r="C10" i="9"/>
  <c r="AS9" i="9"/>
  <c r="AS10" i="9" s="1"/>
  <c r="Z9" i="9"/>
  <c r="M5" i="9" s="1"/>
  <c r="Y9" i="9"/>
  <c r="AC21" i="9" s="1"/>
  <c r="N15" i="9" s="1"/>
  <c r="Q9" i="9"/>
  <c r="F9" i="9"/>
  <c r="F7" i="9" s="1"/>
  <c r="C40" i="9" s="1"/>
  <c r="C9" i="9"/>
  <c r="M7" i="9" s="1"/>
  <c r="S15" i="9" s="1"/>
  <c r="M8" i="9"/>
  <c r="F8" i="9"/>
  <c r="C8" i="9"/>
  <c r="C7" i="9"/>
  <c r="AS6" i="9"/>
  <c r="AS7" i="9" s="1"/>
  <c r="AS36" i="9" s="1"/>
  <c r="Q6" i="9"/>
  <c r="M6" i="9"/>
  <c r="F6" i="9"/>
  <c r="C39" i="9" s="1"/>
  <c r="C6" i="9"/>
  <c r="M4" i="9" s="1"/>
  <c r="Q5" i="9"/>
  <c r="Y83" i="9" s="1"/>
  <c r="X4" i="9"/>
  <c r="AA9" i="9" s="1"/>
  <c r="Q4" i="9"/>
  <c r="M119" i="8"/>
  <c r="Y84" i="8"/>
  <c r="S69" i="8"/>
  <c r="H40" i="8"/>
  <c r="D39" i="8"/>
  <c r="P33" i="8"/>
  <c r="AS30" i="8"/>
  <c r="AS26" i="8"/>
  <c r="AK26" i="8"/>
  <c r="AC20" i="8"/>
  <c r="Y20" i="8"/>
  <c r="M20" i="8"/>
  <c r="M21" i="8" s="1" a="1"/>
  <c r="M21" i="8" s="1"/>
  <c r="AR17" i="8"/>
  <c r="F14" i="8"/>
  <c r="AS13" i="8"/>
  <c r="AR13" i="8"/>
  <c r="AR12" i="8"/>
  <c r="X12" i="8"/>
  <c r="AA20" i="8" s="1"/>
  <c r="F12" i="8"/>
  <c r="H41" i="8" s="1"/>
  <c r="C12" i="8"/>
  <c r="M10" i="8" s="1"/>
  <c r="Q11" i="8"/>
  <c r="I11" i="8"/>
  <c r="F11" i="8"/>
  <c r="H39" i="8" s="1"/>
  <c r="C11" i="8"/>
  <c r="AS10" i="8"/>
  <c r="U10" i="8"/>
  <c r="M33" i="8" s="1"/>
  <c r="Q10" i="8"/>
  <c r="C10" i="8"/>
  <c r="AS9" i="8"/>
  <c r="Z9" i="8"/>
  <c r="Y9" i="8"/>
  <c r="AC21" i="8" s="1"/>
  <c r="N15" i="8" s="1"/>
  <c r="U9" i="8"/>
  <c r="M142" i="8" s="1"/>
  <c r="Q9" i="8"/>
  <c r="M32" i="8" s="1"/>
  <c r="F9" i="8"/>
  <c r="Q6" i="8" s="1"/>
  <c r="C9" i="8"/>
  <c r="Q8" i="8"/>
  <c r="M34" i="8" s="1"/>
  <c r="M35" i="8" s="1"/>
  <c r="P32" i="8" s="1"/>
  <c r="M8" i="8"/>
  <c r="F8" i="8"/>
  <c r="C8" i="8"/>
  <c r="AS7" i="8"/>
  <c r="Q7" i="8"/>
  <c r="N18" i="8" s="1"/>
  <c r="M7" i="8"/>
  <c r="Y40" i="8" s="1"/>
  <c r="C7" i="8"/>
  <c r="AS6" i="8"/>
  <c r="M6" i="8"/>
  <c r="F6" i="8"/>
  <c r="C39" i="8" s="1"/>
  <c r="C6" i="8"/>
  <c r="M4" i="8" s="1"/>
  <c r="Q5" i="8"/>
  <c r="M5" i="8"/>
  <c r="X4" i="8"/>
  <c r="AA9" i="8" s="1"/>
  <c r="N16" i="8" s="1"/>
  <c r="Y105" i="7"/>
  <c r="AI18" i="7" s="1"/>
  <c r="Y98" i="7"/>
  <c r="M69" i="7"/>
  <c r="D39" i="7"/>
  <c r="AS30" i="7"/>
  <c r="AS26" i="7"/>
  <c r="AK26" i="7"/>
  <c r="M20" i="7"/>
  <c r="AR17" i="7"/>
  <c r="S15" i="7"/>
  <c r="F14" i="7"/>
  <c r="AS13" i="7"/>
  <c r="AR13" i="7"/>
  <c r="AR12" i="7"/>
  <c r="X12" i="7"/>
  <c r="AC20" i="7" s="1"/>
  <c r="C12" i="7"/>
  <c r="Q11" i="7"/>
  <c r="H40" i="7" s="1"/>
  <c r="I11" i="7"/>
  <c r="U9" i="7" s="1"/>
  <c r="M142" i="7" s="1"/>
  <c r="F11" i="7"/>
  <c r="H39" i="7" s="1"/>
  <c r="C11" i="7"/>
  <c r="U10" i="7"/>
  <c r="Y84" i="7" s="1"/>
  <c r="Q10" i="7"/>
  <c r="M10" i="7"/>
  <c r="C10" i="7"/>
  <c r="M8" i="7" s="1"/>
  <c r="AS9" i="7"/>
  <c r="AS10" i="7" s="1"/>
  <c r="Q9" i="7"/>
  <c r="F9" i="7"/>
  <c r="Q6" i="7" s="1"/>
  <c r="C9" i="7"/>
  <c r="M7" i="7" s="1"/>
  <c r="F8" i="7"/>
  <c r="C8" i="7"/>
  <c r="Q7" i="7"/>
  <c r="F7" i="7"/>
  <c r="C40" i="7" s="1"/>
  <c r="C7" i="7"/>
  <c r="X4" i="7" s="1"/>
  <c r="AS6" i="7"/>
  <c r="M6" i="7"/>
  <c r="F6" i="7"/>
  <c r="C39" i="7" s="1"/>
  <c r="C6" i="7"/>
  <c r="Q5" i="7"/>
  <c r="M4" i="7"/>
  <c r="Q3" i="7"/>
  <c r="Y84" i="6"/>
  <c r="H40" i="6"/>
  <c r="C40" i="6"/>
  <c r="D39" i="6"/>
  <c r="M33" i="6"/>
  <c r="AS30" i="6"/>
  <c r="AS26" i="6"/>
  <c r="AK26" i="6"/>
  <c r="AA20" i="6"/>
  <c r="Z20" i="6"/>
  <c r="M9" i="6" s="1"/>
  <c r="Y20" i="6"/>
  <c r="M20" i="6"/>
  <c r="AR17" i="6"/>
  <c r="F14" i="6"/>
  <c r="AS13" i="6"/>
  <c r="AR13" i="6"/>
  <c r="AR12" i="6"/>
  <c r="X12" i="6"/>
  <c r="AB20" i="6" s="1"/>
  <c r="C12" i="6"/>
  <c r="Q11" i="6"/>
  <c r="I11" i="6"/>
  <c r="F11" i="6"/>
  <c r="H39" i="6" s="1"/>
  <c r="C11" i="6"/>
  <c r="U10" i="6"/>
  <c r="Q10" i="6"/>
  <c r="M10" i="6"/>
  <c r="C10" i="6"/>
  <c r="M8" i="6" s="1"/>
  <c r="AS9" i="6"/>
  <c r="AS10" i="6" s="1"/>
  <c r="U9" i="6"/>
  <c r="M142" i="6" s="1"/>
  <c r="Q9" i="6"/>
  <c r="F9" i="6"/>
  <c r="C9" i="6"/>
  <c r="F8" i="6"/>
  <c r="C8" i="6"/>
  <c r="M6" i="6" s="1"/>
  <c r="M7" i="6"/>
  <c r="F7" i="6"/>
  <c r="C7" i="6"/>
  <c r="AS6" i="6"/>
  <c r="AS7" i="6" s="1"/>
  <c r="AS23" i="6" s="1"/>
  <c r="Q6" i="6"/>
  <c r="F6" i="6"/>
  <c r="C6" i="6"/>
  <c r="M4" i="6" s="1"/>
  <c r="Q5" i="6"/>
  <c r="X4" i="6"/>
  <c r="Q4" i="6"/>
  <c r="D39" i="5"/>
  <c r="AS30" i="5"/>
  <c r="AS26" i="5"/>
  <c r="AK26" i="5"/>
  <c r="M20" i="5"/>
  <c r="AR17" i="5"/>
  <c r="F14" i="5"/>
  <c r="Q10" i="5" s="1"/>
  <c r="AS13" i="5"/>
  <c r="AR13" i="5"/>
  <c r="AR12" i="5"/>
  <c r="C12" i="5"/>
  <c r="Q11" i="5"/>
  <c r="I11" i="5"/>
  <c r="U9" i="5" s="1"/>
  <c r="M142" i="5" s="1"/>
  <c r="F11" i="5"/>
  <c r="H39" i="5" s="1"/>
  <c r="C11" i="5"/>
  <c r="X12" i="5" s="1"/>
  <c r="Y20" i="5" s="1"/>
  <c r="U10" i="5"/>
  <c r="M10" i="5"/>
  <c r="C10" i="5"/>
  <c r="M8" i="5" s="1"/>
  <c r="Q9" i="5"/>
  <c r="F9" i="5"/>
  <c r="C9" i="5"/>
  <c r="F8" i="5"/>
  <c r="C8" i="5"/>
  <c r="M6" i="5" s="1"/>
  <c r="M7" i="5"/>
  <c r="S15" i="5" s="1"/>
  <c r="F7" i="5"/>
  <c r="C7" i="5"/>
  <c r="X4" i="5" s="1"/>
  <c r="AA9" i="5" s="1"/>
  <c r="N16" i="5" s="1"/>
  <c r="AS6" i="5"/>
  <c r="AS9" i="5" s="1"/>
  <c r="AS10" i="5" s="1"/>
  <c r="Q6" i="5"/>
  <c r="F6" i="5"/>
  <c r="C39" i="5" s="1"/>
  <c r="C6" i="5"/>
  <c r="M4" i="5" s="1"/>
  <c r="Q4" i="5"/>
  <c r="Q3" i="5"/>
  <c r="Y70" i="5" s="1"/>
  <c r="D39" i="4"/>
  <c r="AS30" i="4"/>
  <c r="AS26" i="4"/>
  <c r="AK26" i="4"/>
  <c r="M20" i="4"/>
  <c r="AR17" i="4"/>
  <c r="F14" i="4"/>
  <c r="Q10" i="4" s="1"/>
  <c r="AS13" i="4"/>
  <c r="AR13" i="4"/>
  <c r="AR12" i="4"/>
  <c r="C12" i="4"/>
  <c r="M10" i="4" s="1"/>
  <c r="Q11" i="4"/>
  <c r="I11" i="4"/>
  <c r="F11" i="4"/>
  <c r="H39" i="4" s="1"/>
  <c r="C11" i="4"/>
  <c r="X12" i="4" s="1"/>
  <c r="U10" i="4"/>
  <c r="Y84" i="4" s="1"/>
  <c r="C10" i="4"/>
  <c r="M8" i="4" s="1"/>
  <c r="M95" i="4" s="1"/>
  <c r="M105" i="4" s="1"/>
  <c r="AS9" i="4"/>
  <c r="AS10" i="4" s="1"/>
  <c r="U9" i="4"/>
  <c r="M142" i="4" s="1"/>
  <c r="F9" i="4"/>
  <c r="Q6" i="4" s="1"/>
  <c r="C9" i="4"/>
  <c r="M7" i="4" s="1"/>
  <c r="Y105" i="4" s="1"/>
  <c r="AI18" i="4" s="1"/>
  <c r="F8" i="4"/>
  <c r="Q5" i="4" s="1"/>
  <c r="C8" i="4"/>
  <c r="M6" i="4" s="1"/>
  <c r="AS7" i="4" s="1"/>
  <c r="AS36" i="4" s="1"/>
  <c r="F7" i="4"/>
  <c r="C7" i="4"/>
  <c r="X4" i="4" s="1"/>
  <c r="AS6" i="4"/>
  <c r="F6" i="4"/>
  <c r="Q3" i="4" s="1"/>
  <c r="D39" i="3"/>
  <c r="M33" i="3"/>
  <c r="AS30" i="3"/>
  <c r="AS26" i="3"/>
  <c r="AK26" i="3"/>
  <c r="M20" i="3"/>
  <c r="AR17" i="3"/>
  <c r="F14" i="3"/>
  <c r="Q10" i="3" s="1"/>
  <c r="AS13" i="3"/>
  <c r="AR13" i="3"/>
  <c r="AR12" i="3"/>
  <c r="Q11" i="3"/>
  <c r="I11" i="3"/>
  <c r="U9" i="3" s="1"/>
  <c r="M142" i="3" s="1"/>
  <c r="F11" i="3"/>
  <c r="H39" i="3" s="1"/>
  <c r="U10" i="3"/>
  <c r="Y84" i="3" s="1"/>
  <c r="AS9" i="3"/>
  <c r="AS10" i="3" s="1"/>
  <c r="F9" i="3"/>
  <c r="Q4" i="3"/>
  <c r="AS6" i="3"/>
  <c r="Q6" i="3"/>
  <c r="F6" i="3"/>
  <c r="Q3" i="3" s="1"/>
  <c r="K39" i="2"/>
  <c r="K38" i="2"/>
  <c r="K37" i="2"/>
  <c r="K36" i="2"/>
  <c r="K35" i="2"/>
  <c r="K34" i="2"/>
  <c r="K33" i="2"/>
  <c r="K32" i="2"/>
  <c r="K30" i="2"/>
  <c r="H18" i="2"/>
  <c r="A39" i="2" s="1"/>
  <c r="H15" i="2"/>
  <c r="A36" i="2" s="1"/>
  <c r="P44" i="1"/>
  <c r="O44" i="1"/>
  <c r="N44" i="1"/>
  <c r="P43" i="1"/>
  <c r="O43" i="1"/>
  <c r="N43" i="1"/>
  <c r="P42" i="1"/>
  <c r="O42" i="1"/>
  <c r="N42" i="1"/>
  <c r="P41" i="1"/>
  <c r="O41" i="1"/>
  <c r="N41" i="1"/>
  <c r="P40" i="1"/>
  <c r="O40" i="1"/>
  <c r="N40" i="1"/>
  <c r="P39" i="1"/>
  <c r="O39" i="1"/>
  <c r="N39" i="1"/>
  <c r="P38" i="1"/>
  <c r="O38" i="1"/>
  <c r="N38" i="1"/>
  <c r="P37" i="1"/>
  <c r="O37" i="1"/>
  <c r="N37" i="1"/>
  <c r="P36" i="1"/>
  <c r="O36" i="1"/>
  <c r="N36" i="1"/>
  <c r="P35" i="1"/>
  <c r="O35" i="1"/>
  <c r="N35" i="1"/>
  <c r="J30" i="1"/>
  <c r="I8" i="12" s="1"/>
  <c r="U6" i="12" s="1"/>
  <c r="I30" i="1"/>
  <c r="I7" i="12" s="1"/>
  <c r="U5" i="12" s="1"/>
  <c r="H30" i="1"/>
  <c r="I6" i="12" s="1"/>
  <c r="U4" i="12" s="1"/>
  <c r="J29" i="1"/>
  <c r="I8" i="11" s="1"/>
  <c r="U6" i="11" s="1"/>
  <c r="I29" i="1"/>
  <c r="I7" i="11" s="1"/>
  <c r="U5" i="11" s="1"/>
  <c r="H29" i="1"/>
  <c r="I6" i="11" s="1"/>
  <c r="U4" i="11" s="1"/>
  <c r="J28" i="1"/>
  <c r="I8" i="10" s="1"/>
  <c r="U6" i="10" s="1"/>
  <c r="I28" i="1"/>
  <c r="I7" i="10" s="1"/>
  <c r="U5" i="10" s="1"/>
  <c r="S17" i="10" s="1"/>
  <c r="H28" i="1"/>
  <c r="I6" i="10" s="1"/>
  <c r="U4" i="10" s="1"/>
  <c r="J27" i="1"/>
  <c r="I8" i="9" s="1"/>
  <c r="U6" i="9" s="1"/>
  <c r="I27" i="1"/>
  <c r="I7" i="9" s="1"/>
  <c r="U5" i="9" s="1"/>
  <c r="S17" i="9" s="1"/>
  <c r="H27" i="1"/>
  <c r="I6" i="9" s="1"/>
  <c r="U4" i="9" s="1"/>
  <c r="J26" i="1"/>
  <c r="I8" i="8" s="1"/>
  <c r="U6" i="8" s="1"/>
  <c r="I26" i="1"/>
  <c r="I7" i="8" s="1"/>
  <c r="U5" i="8" s="1"/>
  <c r="H26" i="1"/>
  <c r="I6" i="8" s="1"/>
  <c r="U4" i="8" s="1"/>
  <c r="J25" i="1"/>
  <c r="I8" i="7" s="1"/>
  <c r="U6" i="7" s="1"/>
  <c r="I25" i="1"/>
  <c r="I7" i="7" s="1"/>
  <c r="U5" i="7" s="1"/>
  <c r="S17" i="7" s="1"/>
  <c r="H25" i="1"/>
  <c r="I6" i="7" s="1"/>
  <c r="U4" i="7" s="1"/>
  <c r="J24" i="1"/>
  <c r="I8" i="6" s="1"/>
  <c r="U6" i="6" s="1"/>
  <c r="I24" i="1"/>
  <c r="I7" i="6" s="1"/>
  <c r="U5" i="6" s="1"/>
  <c r="H24" i="1"/>
  <c r="I6" i="6" s="1"/>
  <c r="U4" i="6" s="1"/>
  <c r="I7" i="5"/>
  <c r="U5" i="5" s="1"/>
  <c r="I7" i="4"/>
  <c r="U5" i="4" s="1"/>
  <c r="H8" i="1"/>
  <c r="P3" i="1"/>
  <c r="P2" i="1"/>
  <c r="C40" i="4" l="1"/>
  <c r="M32" i="5"/>
  <c r="M96" i="3"/>
  <c r="M32" i="3"/>
  <c r="M117" i="5"/>
  <c r="M130" i="5" s="1"/>
  <c r="M95" i="5"/>
  <c r="M110" i="5" s="1"/>
  <c r="AS17" i="5"/>
  <c r="AS18" i="5" s="1"/>
  <c r="M96" i="5"/>
  <c r="M109" i="5" s="1"/>
  <c r="H40" i="5"/>
  <c r="D32" i="2" s="1"/>
  <c r="S17" i="5"/>
  <c r="S15" i="4"/>
  <c r="S17" i="4" s="1"/>
  <c r="H40" i="4"/>
  <c r="Q7" i="3"/>
  <c r="Y40" i="3" s="1"/>
  <c r="C40" i="3"/>
  <c r="Q4" i="4"/>
  <c r="Y83" i="4" s="1"/>
  <c r="C39" i="4"/>
  <c r="C39" i="3"/>
  <c r="H40" i="3"/>
  <c r="Q7" i="4"/>
  <c r="Y40" i="4" s="1"/>
  <c r="Y44" i="4" s="1"/>
  <c r="D10" i="2"/>
  <c r="AS37" i="4"/>
  <c r="AS38" i="4" s="1"/>
  <c r="AS39" i="4" s="1"/>
  <c r="AS41" i="4"/>
  <c r="M119" i="4"/>
  <c r="M118" i="4"/>
  <c r="AS17" i="4"/>
  <c r="AS18" i="4" s="1"/>
  <c r="M117" i="4"/>
  <c r="M129" i="4" s="1"/>
  <c r="M139" i="4" s="1"/>
  <c r="AA9" i="3"/>
  <c r="N16" i="3" s="1"/>
  <c r="Y9" i="3"/>
  <c r="M95" i="3"/>
  <c r="M105" i="3" s="1"/>
  <c r="AS17" i="3"/>
  <c r="AS18" i="3" s="1"/>
  <c r="M117" i="3"/>
  <c r="M130" i="3" s="1"/>
  <c r="Y105" i="3"/>
  <c r="AI18" i="3" s="1"/>
  <c r="B10" i="2"/>
  <c r="H10" i="2"/>
  <c r="A31" i="2" s="1"/>
  <c r="F31" i="2" s="1"/>
  <c r="Q5" i="3"/>
  <c r="Y83" i="3"/>
  <c r="Y85" i="3" s="1"/>
  <c r="B18" i="2"/>
  <c r="B12" i="2"/>
  <c r="B11" i="2"/>
  <c r="AA9" i="4"/>
  <c r="N16" i="4" s="1"/>
  <c r="Y9" i="4"/>
  <c r="I6" i="4"/>
  <c r="U4" i="4" s="1"/>
  <c r="P5" i="1"/>
  <c r="M22" i="8" s="1"/>
  <c r="I10" i="8" s="1"/>
  <c r="U8" i="8" s="1"/>
  <c r="A2" i="3"/>
  <c r="F33" i="2"/>
  <c r="D33" i="2"/>
  <c r="B33" i="2"/>
  <c r="C33" i="2"/>
  <c r="AC20" i="3"/>
  <c r="AB20" i="3"/>
  <c r="AA20" i="3"/>
  <c r="Z20" i="3"/>
  <c r="M9" i="3" s="1"/>
  <c r="Y70" i="4"/>
  <c r="Y82" i="4"/>
  <c r="H9" i="2"/>
  <c r="A30" i="2" s="1"/>
  <c r="D9" i="2"/>
  <c r="B9" i="2"/>
  <c r="H17" i="2"/>
  <c r="A38" i="2" s="1"/>
  <c r="B17" i="2"/>
  <c r="S18" i="7"/>
  <c r="P33" i="7"/>
  <c r="I9" i="12"/>
  <c r="U7" i="12" s="1"/>
  <c r="I9" i="8"/>
  <c r="U7" i="8" s="1"/>
  <c r="I9" i="9"/>
  <c r="U7" i="9" s="1"/>
  <c r="S20" i="9" s="1"/>
  <c r="I9" i="10"/>
  <c r="U7" i="10" s="1"/>
  <c r="S20" i="10" s="1"/>
  <c r="I9" i="11"/>
  <c r="U7" i="11" s="1"/>
  <c r="I9" i="7"/>
  <c r="U7" i="7" s="1"/>
  <c r="S20" i="7" s="1"/>
  <c r="I9" i="4"/>
  <c r="U7" i="4" s="1"/>
  <c r="I9" i="3"/>
  <c r="U7" i="3" s="1"/>
  <c r="I9" i="6"/>
  <c r="U7" i="6" s="1"/>
  <c r="I9" i="5"/>
  <c r="U7" i="5" s="1"/>
  <c r="S20" i="5" s="1"/>
  <c r="M32" i="4"/>
  <c r="M70" i="3"/>
  <c r="I6" i="3"/>
  <c r="U4" i="3" s="1"/>
  <c r="H13" i="2"/>
  <c r="A34" i="2" s="1"/>
  <c r="D13" i="2"/>
  <c r="B13" i="2"/>
  <c r="F36" i="2"/>
  <c r="C36" i="2"/>
  <c r="B36" i="2"/>
  <c r="Y98" i="3"/>
  <c r="AC20" i="4"/>
  <c r="AB20" i="4"/>
  <c r="AA20" i="4"/>
  <c r="Z20" i="4"/>
  <c r="M9" i="4" s="1"/>
  <c r="M95" i="7"/>
  <c r="M119" i="7"/>
  <c r="M117" i="7"/>
  <c r="AS17" i="7"/>
  <c r="AS18" i="7" s="1"/>
  <c r="M96" i="7"/>
  <c r="I21" i="1"/>
  <c r="I7" i="3" s="1"/>
  <c r="U5" i="3" s="1"/>
  <c r="F39" i="2"/>
  <c r="D39" i="2"/>
  <c r="C39" i="2"/>
  <c r="B39" i="2"/>
  <c r="Y82" i="3"/>
  <c r="Y70" i="3"/>
  <c r="A2" i="12"/>
  <c r="A2" i="11"/>
  <c r="A2" i="10"/>
  <c r="A2" i="7"/>
  <c r="A2" i="6"/>
  <c r="A2" i="9"/>
  <c r="A2" i="8"/>
  <c r="A2" i="4"/>
  <c r="A3" i="2"/>
  <c r="A2" i="5"/>
  <c r="M70" i="5"/>
  <c r="M69" i="5"/>
  <c r="Y98" i="5"/>
  <c r="J22" i="1"/>
  <c r="I8" i="4" s="1"/>
  <c r="U6" i="4" s="1"/>
  <c r="D35" i="2"/>
  <c r="C35" i="2"/>
  <c r="B35" i="2"/>
  <c r="M69" i="3"/>
  <c r="Y20" i="4"/>
  <c r="S18" i="10"/>
  <c r="M70" i="4"/>
  <c r="Y98" i="4"/>
  <c r="M69" i="4"/>
  <c r="F32" i="2"/>
  <c r="C32" i="2"/>
  <c r="B32" i="2"/>
  <c r="H16" i="2"/>
  <c r="A37" i="2" s="1"/>
  <c r="D16" i="2"/>
  <c r="B16" i="2"/>
  <c r="M119" i="6"/>
  <c r="M117" i="6"/>
  <c r="M95" i="6"/>
  <c r="Y98" i="6"/>
  <c r="M70" i="6"/>
  <c r="M69" i="6"/>
  <c r="Z9" i="3"/>
  <c r="M5" i="3" s="1"/>
  <c r="N14" i="3" s="1"/>
  <c r="M67" i="3" s="1"/>
  <c r="Z9" i="4"/>
  <c r="M5" i="4" s="1"/>
  <c r="AS40" i="4"/>
  <c r="Y84" i="5"/>
  <c r="M33" i="5"/>
  <c r="Y105" i="6"/>
  <c r="AI18" i="6" s="1"/>
  <c r="M32" i="6"/>
  <c r="S15" i="6"/>
  <c r="S17" i="6" s="1"/>
  <c r="AS11" i="3"/>
  <c r="AS23" i="3"/>
  <c r="M118" i="3"/>
  <c r="AS11" i="4"/>
  <c r="AS23" i="4"/>
  <c r="AC20" i="5"/>
  <c r="AA20" i="5"/>
  <c r="Q7" i="6"/>
  <c r="Y40" i="6" s="1"/>
  <c r="M119" i="3"/>
  <c r="M104" i="4"/>
  <c r="U33" i="8"/>
  <c r="P34" i="8"/>
  <c r="Q34" i="8" s="1"/>
  <c r="B15" i="2"/>
  <c r="AS36" i="3"/>
  <c r="M96" i="4"/>
  <c r="M109" i="4" s="1"/>
  <c r="Z20" i="5"/>
  <c r="M9" i="5" s="1"/>
  <c r="Y82" i="7"/>
  <c r="Y70" i="7"/>
  <c r="AB20" i="5"/>
  <c r="Y105" i="5"/>
  <c r="AI18" i="5" s="1"/>
  <c r="AA9" i="6"/>
  <c r="Z9" i="6"/>
  <c r="M5" i="6" s="1"/>
  <c r="Y94" i="6" s="1"/>
  <c r="AG19" i="6" s="1"/>
  <c r="Y9" i="6"/>
  <c r="AC21" i="6" s="1"/>
  <c r="N15" i="6" s="1"/>
  <c r="M21" i="6" s="1" a="1"/>
  <c r="M21" i="6" s="1"/>
  <c r="D15" i="2"/>
  <c r="Y82" i="5"/>
  <c r="Y83" i="6"/>
  <c r="AS17" i="6"/>
  <c r="AS18" i="6" s="1"/>
  <c r="D12" i="2"/>
  <c r="AS8" i="4"/>
  <c r="AS27" i="4" s="1"/>
  <c r="M33" i="4"/>
  <c r="Q7" i="5"/>
  <c r="N18" i="5" s="1"/>
  <c r="Y9" i="5"/>
  <c r="AC21" i="5" s="1"/>
  <c r="N15" i="5" s="1"/>
  <c r="M21" i="5" s="1" a="1"/>
  <c r="M21" i="5" s="1"/>
  <c r="M96" i="6"/>
  <c r="M118" i="6"/>
  <c r="M120" i="6" s="1"/>
  <c r="AS11" i="6"/>
  <c r="Y43" i="8"/>
  <c r="C19" i="8"/>
  <c r="Y44" i="8"/>
  <c r="Z9" i="5"/>
  <c r="M5" i="5" s="1"/>
  <c r="N14" i="5" s="1"/>
  <c r="M67" i="5" s="1"/>
  <c r="C39" i="6"/>
  <c r="Q3" i="6"/>
  <c r="B14" i="2"/>
  <c r="M110" i="4"/>
  <c r="AS7" i="5"/>
  <c r="H39" i="9"/>
  <c r="Q7" i="9"/>
  <c r="S18" i="9" s="1"/>
  <c r="Z9" i="7"/>
  <c r="M5" i="7" s="1"/>
  <c r="Y94" i="7" s="1"/>
  <c r="AG19" i="7" s="1"/>
  <c r="Y9" i="7"/>
  <c r="AC21" i="7" s="1"/>
  <c r="N15" i="7" s="1"/>
  <c r="M21" i="7" s="1" a="1"/>
  <c r="M21" i="7" s="1"/>
  <c r="AA9" i="7"/>
  <c r="M118" i="5"/>
  <c r="AS11" i="5"/>
  <c r="C40" i="5"/>
  <c r="D11" i="2" s="1"/>
  <c r="Q5" i="5"/>
  <c r="Y83" i="5" s="1"/>
  <c r="AS8" i="6"/>
  <c r="AS27" i="6" s="1"/>
  <c r="AS36" i="6"/>
  <c r="M118" i="7"/>
  <c r="M120" i="7" s="1"/>
  <c r="AS8" i="8"/>
  <c r="AS27" i="8" s="1"/>
  <c r="AS23" i="8"/>
  <c r="AC20" i="6"/>
  <c r="Q4" i="7"/>
  <c r="Y83" i="7" s="1"/>
  <c r="M70" i="7"/>
  <c r="AS41" i="9"/>
  <c r="AS37" i="9"/>
  <c r="AS38" i="9" s="1"/>
  <c r="AS39" i="9" s="1"/>
  <c r="AS40" i="9"/>
  <c r="S69" i="9"/>
  <c r="M32" i="7"/>
  <c r="N14" i="7"/>
  <c r="M67" i="7" s="1"/>
  <c r="M95" i="8"/>
  <c r="M117" i="8"/>
  <c r="AS17" i="8"/>
  <c r="AS18" i="8" s="1"/>
  <c r="M70" i="8"/>
  <c r="M69" i="8"/>
  <c r="U32" i="8"/>
  <c r="P35" i="8" s="1"/>
  <c r="Y98" i="8"/>
  <c r="M21" i="10" a="1"/>
  <c r="M21" i="10" s="1"/>
  <c r="M117" i="9"/>
  <c r="AS17" i="9"/>
  <c r="AS18" i="9" s="1"/>
  <c r="AS24" i="9"/>
  <c r="AS25" i="9" s="1"/>
  <c r="AS28" i="9" s="1"/>
  <c r="AS29" i="9" s="1"/>
  <c r="AS12" i="9"/>
  <c r="M95" i="9"/>
  <c r="C20" i="10"/>
  <c r="AI19" i="10"/>
  <c r="Y85" i="10"/>
  <c r="Y40" i="7"/>
  <c r="M33" i="7"/>
  <c r="AS36" i="8"/>
  <c r="AS8" i="9"/>
  <c r="AS27" i="9" s="1"/>
  <c r="AS11" i="7"/>
  <c r="Y105" i="8"/>
  <c r="AI18" i="8" s="1"/>
  <c r="N18" i="9"/>
  <c r="M120" i="10"/>
  <c r="Q7" i="10"/>
  <c r="H39" i="10"/>
  <c r="AA20" i="7"/>
  <c r="AI19" i="9"/>
  <c r="AS23" i="9"/>
  <c r="M119" i="5"/>
  <c r="AS7" i="7"/>
  <c r="F7" i="8"/>
  <c r="S15" i="8"/>
  <c r="S17" i="8" s="1"/>
  <c r="N17" i="9"/>
  <c r="M96" i="9"/>
  <c r="M118" i="9"/>
  <c r="M120" i="9" s="1"/>
  <c r="N14" i="9"/>
  <c r="M67" i="9" s="1"/>
  <c r="AS11" i="11"/>
  <c r="M96" i="11"/>
  <c r="M118" i="11"/>
  <c r="M120" i="11" s="1"/>
  <c r="AB20" i="7"/>
  <c r="Z20" i="7"/>
  <c r="M9" i="7" s="1"/>
  <c r="S14" i="7" s="1"/>
  <c r="Y20" i="7"/>
  <c r="F12" i="9"/>
  <c r="Y69" i="9"/>
  <c r="Y64" i="9"/>
  <c r="M119" i="9"/>
  <c r="Z9" i="10"/>
  <c r="M5" i="10" s="1"/>
  <c r="AA9" i="10"/>
  <c r="Y9" i="10"/>
  <c r="AC21" i="10" s="1"/>
  <c r="N15" i="10" s="1"/>
  <c r="Y98" i="9"/>
  <c r="M70" i="9"/>
  <c r="Q4" i="11"/>
  <c r="Y83" i="11" s="1"/>
  <c r="C40" i="11"/>
  <c r="D17" i="2" s="1"/>
  <c r="AC20" i="11"/>
  <c r="AB20" i="11"/>
  <c r="Z20" i="11"/>
  <c r="M9" i="11" s="1"/>
  <c r="S14" i="11" s="1"/>
  <c r="Y20" i="11"/>
  <c r="M96" i="10"/>
  <c r="P33" i="11"/>
  <c r="N17" i="8"/>
  <c r="S16" i="8" s="1"/>
  <c r="M118" i="8"/>
  <c r="M120" i="8" s="1"/>
  <c r="AS11" i="8"/>
  <c r="N14" i="8"/>
  <c r="M67" i="8" s="1"/>
  <c r="N14" i="10"/>
  <c r="M67" i="10" s="1"/>
  <c r="Y84" i="10"/>
  <c r="Y86" i="10" s="1"/>
  <c r="AS23" i="11"/>
  <c r="AS36" i="11"/>
  <c r="Y40" i="11"/>
  <c r="Q6" i="12"/>
  <c r="F7" i="12"/>
  <c r="AS9" i="10"/>
  <c r="AS10" i="10" s="1"/>
  <c r="AS7" i="10"/>
  <c r="Y82" i="12"/>
  <c r="Y70" i="12"/>
  <c r="M69" i="9"/>
  <c r="N16" i="12"/>
  <c r="N17" i="12" s="1"/>
  <c r="S16" i="12" s="1"/>
  <c r="M33" i="9"/>
  <c r="Y84" i="9"/>
  <c r="AC20" i="10"/>
  <c r="AB20" i="10"/>
  <c r="Z20" i="10"/>
  <c r="M9" i="10" s="1"/>
  <c r="S14" i="10" s="1"/>
  <c r="Y20" i="10"/>
  <c r="AS17" i="12"/>
  <c r="AS18" i="12" s="1"/>
  <c r="M95" i="12"/>
  <c r="M119" i="12"/>
  <c r="M117" i="12"/>
  <c r="Y101" i="12"/>
  <c r="Y90" i="12"/>
  <c r="Y91" i="12" s="1"/>
  <c r="Y64" i="12"/>
  <c r="F12" i="12"/>
  <c r="Y69" i="12"/>
  <c r="S69" i="12"/>
  <c r="M96" i="8"/>
  <c r="AA20" i="11"/>
  <c r="M21" i="9" a="1"/>
  <c r="M21" i="9" s="1"/>
  <c r="M119" i="10"/>
  <c r="M117" i="10"/>
  <c r="AS17" i="10"/>
  <c r="AS18" i="10" s="1"/>
  <c r="Q10" i="11"/>
  <c r="M32" i="11" s="1"/>
  <c r="H40" i="11"/>
  <c r="Z20" i="12"/>
  <c r="M9" i="12" s="1"/>
  <c r="S14" i="12" s="1"/>
  <c r="Y20" i="12"/>
  <c r="AC20" i="12"/>
  <c r="AB20" i="12"/>
  <c r="AA20" i="12"/>
  <c r="N16" i="11"/>
  <c r="N18" i="11"/>
  <c r="M128" i="11"/>
  <c r="M138" i="11" s="1"/>
  <c r="M129" i="11"/>
  <c r="M139" i="11" s="1"/>
  <c r="Z20" i="9"/>
  <c r="M9" i="9" s="1"/>
  <c r="S14" i="9" s="1"/>
  <c r="Y94" i="10"/>
  <c r="AG19" i="10" s="1"/>
  <c r="Y98" i="10"/>
  <c r="Y99" i="10" s="1"/>
  <c r="M57" i="8"/>
  <c r="M58" i="8" s="1"/>
  <c r="M59" i="8" s="1"/>
  <c r="M56" i="8"/>
  <c r="Z20" i="8"/>
  <c r="M9" i="8" s="1"/>
  <c r="H40" i="9"/>
  <c r="D36" i="2" s="1"/>
  <c r="Y40" i="10"/>
  <c r="M119" i="11"/>
  <c r="M95" i="11"/>
  <c r="M130" i="11"/>
  <c r="AB20" i="8"/>
  <c r="AB20" i="9"/>
  <c r="M95" i="10"/>
  <c r="Y82" i="11"/>
  <c r="AS11" i="10"/>
  <c r="Z9" i="11"/>
  <c r="M5" i="11" s="1"/>
  <c r="N14" i="11" s="1"/>
  <c r="M67" i="11" s="1"/>
  <c r="Y9" i="11"/>
  <c r="AC21" i="11" s="1"/>
  <c r="N15" i="11" s="1"/>
  <c r="M21" i="11" s="1" a="1"/>
  <c r="M21" i="11" s="1"/>
  <c r="AS9" i="12"/>
  <c r="AS10" i="12" s="1"/>
  <c r="AS7" i="12"/>
  <c r="M56" i="12"/>
  <c r="M57" i="12"/>
  <c r="P33" i="12"/>
  <c r="S15" i="12"/>
  <c r="S17" i="12" s="1"/>
  <c r="Y105" i="12"/>
  <c r="AI18" i="12" s="1"/>
  <c r="Y40" i="12"/>
  <c r="Q3" i="8"/>
  <c r="Q3" i="9"/>
  <c r="S15" i="11"/>
  <c r="S18" i="11" s="1"/>
  <c r="Y105" i="11"/>
  <c r="AI18" i="11" s="1"/>
  <c r="M69" i="11"/>
  <c r="Y98" i="11"/>
  <c r="M70" i="11"/>
  <c r="M118" i="12"/>
  <c r="M120" i="12" s="1"/>
  <c r="M96" i="12"/>
  <c r="N14" i="12"/>
  <c r="M67" i="12" s="1"/>
  <c r="AS11" i="12"/>
  <c r="M70" i="12"/>
  <c r="M69" i="12"/>
  <c r="Y94" i="12"/>
  <c r="AG19" i="12" s="1"/>
  <c r="M129" i="5" l="1"/>
  <c r="M139" i="5" s="1"/>
  <c r="M131" i="5"/>
  <c r="M140" i="5" s="1"/>
  <c r="M128" i="5"/>
  <c r="M138" i="5" s="1"/>
  <c r="M104" i="5"/>
  <c r="M105" i="5"/>
  <c r="M106" i="5"/>
  <c r="B31" i="2"/>
  <c r="C31" i="2"/>
  <c r="D31" i="2"/>
  <c r="M130" i="4"/>
  <c r="M120" i="4"/>
  <c r="N17" i="5"/>
  <c r="S16" i="5" s="1"/>
  <c r="Y94" i="5"/>
  <c r="AG19" i="5" s="1"/>
  <c r="S14" i="5"/>
  <c r="S19" i="5" s="1"/>
  <c r="M57" i="4"/>
  <c r="N18" i="4"/>
  <c r="S14" i="4"/>
  <c r="S19" i="4" s="1"/>
  <c r="S18" i="3"/>
  <c r="S20" i="4"/>
  <c r="N28" i="4" s="1"/>
  <c r="C19" i="4"/>
  <c r="Y43" i="4"/>
  <c r="Y51" i="4" s="1"/>
  <c r="S18" i="4"/>
  <c r="Y85" i="4"/>
  <c r="Y86" i="4" s="1"/>
  <c r="D23" i="4" s="1"/>
  <c r="AI15" i="4" s="1"/>
  <c r="AI17" i="4" s="1"/>
  <c r="AI19" i="4"/>
  <c r="P33" i="3"/>
  <c r="S14" i="3"/>
  <c r="S19" i="3" s="1"/>
  <c r="AR6" i="4"/>
  <c r="AR25" i="4" s="1"/>
  <c r="P33" i="4"/>
  <c r="M131" i="4"/>
  <c r="M140" i="4" s="1"/>
  <c r="M128" i="4"/>
  <c r="M138" i="4" s="1"/>
  <c r="M128" i="3"/>
  <c r="M138" i="3" s="1"/>
  <c r="M129" i="3"/>
  <c r="M139" i="3" s="1"/>
  <c r="M109" i="3"/>
  <c r="M110" i="3"/>
  <c r="M104" i="3"/>
  <c r="M106" i="3"/>
  <c r="AC21" i="3"/>
  <c r="N15" i="3" s="1"/>
  <c r="M21" i="3" s="1" a="1"/>
  <c r="M21" i="3" s="1"/>
  <c r="M22" i="3" s="1"/>
  <c r="I10" i="3" s="1"/>
  <c r="U8" i="3" s="1"/>
  <c r="S22" i="3" s="1"/>
  <c r="N27" i="3" s="1"/>
  <c r="Y94" i="3"/>
  <c r="AG19" i="3" s="1"/>
  <c r="N18" i="3"/>
  <c r="N17" i="3"/>
  <c r="S20" i="3"/>
  <c r="N28" i="3" s="1"/>
  <c r="S17" i="3"/>
  <c r="AI19" i="3"/>
  <c r="AC21" i="4"/>
  <c r="N15" i="4" s="1"/>
  <c r="M21" i="4" s="1" a="1"/>
  <c r="M21" i="4" s="1"/>
  <c r="M22" i="4" s="1"/>
  <c r="I10" i="4" s="1"/>
  <c r="U8" i="4" s="1"/>
  <c r="S22" i="4" s="1"/>
  <c r="M22" i="11"/>
  <c r="I10" i="11" s="1"/>
  <c r="U8" i="11" s="1"/>
  <c r="S22" i="11" s="1"/>
  <c r="N27" i="11" s="1"/>
  <c r="N29" i="11" s="1"/>
  <c r="M22" i="9"/>
  <c r="I10" i="9" s="1"/>
  <c r="U8" i="9" s="1"/>
  <c r="S22" i="9" s="1"/>
  <c r="N27" i="9" s="1"/>
  <c r="N29" i="9" s="1"/>
  <c r="M55" i="8"/>
  <c r="M68" i="8" s="1"/>
  <c r="M55" i="12"/>
  <c r="M89" i="12" s="1"/>
  <c r="B34" i="12" s="1"/>
  <c r="AG27" i="12" s="1"/>
  <c r="M22" i="10"/>
  <c r="I10" i="10" s="1"/>
  <c r="U8" i="10" s="1"/>
  <c r="S22" i="10" s="1"/>
  <c r="N27" i="10" s="1"/>
  <c r="N29" i="10" s="1"/>
  <c r="M22" i="6"/>
  <c r="I10" i="6" s="1"/>
  <c r="U8" i="6" s="1"/>
  <c r="S22" i="6" s="1"/>
  <c r="M116" i="6" s="1"/>
  <c r="M22" i="7"/>
  <c r="I10" i="7" s="1"/>
  <c r="U8" i="7" s="1"/>
  <c r="S22" i="7" s="1"/>
  <c r="M116" i="7" s="1"/>
  <c r="M22" i="12"/>
  <c r="I10" i="12" s="1"/>
  <c r="U8" i="12" s="1"/>
  <c r="S21" i="12" s="1"/>
  <c r="M22" i="5"/>
  <c r="I10" i="5" s="1"/>
  <c r="U8" i="5" s="1"/>
  <c r="S22" i="5" s="1"/>
  <c r="M116" i="5" s="1"/>
  <c r="Y43" i="6"/>
  <c r="C19" i="6"/>
  <c r="Y44" i="6"/>
  <c r="Y45" i="6" s="1"/>
  <c r="Y85" i="7"/>
  <c r="Y86" i="7" s="1"/>
  <c r="AB95" i="7"/>
  <c r="AI19" i="7"/>
  <c r="Y85" i="11"/>
  <c r="AI19" i="11"/>
  <c r="Y86" i="11"/>
  <c r="N17" i="4"/>
  <c r="Q58" i="8"/>
  <c r="O89" i="8" s="1"/>
  <c r="Q56" i="8"/>
  <c r="Q57" i="8"/>
  <c r="D23" i="10"/>
  <c r="AI15" i="10" s="1"/>
  <c r="AI17" i="10" s="1"/>
  <c r="R89" i="11"/>
  <c r="AK27" i="11" s="1"/>
  <c r="N71" i="11"/>
  <c r="S71" i="11"/>
  <c r="Y101" i="3"/>
  <c r="Y64" i="3"/>
  <c r="F12" i="3"/>
  <c r="Y90" i="3"/>
  <c r="Y91" i="3" s="1"/>
  <c r="Y69" i="3"/>
  <c r="S69" i="3"/>
  <c r="F37" i="2"/>
  <c r="D37" i="2"/>
  <c r="B37" i="2"/>
  <c r="C37" i="2"/>
  <c r="P116" i="5"/>
  <c r="N28" i="5"/>
  <c r="Y45" i="4"/>
  <c r="Y94" i="11"/>
  <c r="AG19" i="11" s="1"/>
  <c r="M80" i="8"/>
  <c r="M78" i="8"/>
  <c r="Q8" i="12"/>
  <c r="M34" i="12" s="1"/>
  <c r="H41" i="12"/>
  <c r="AS24" i="8"/>
  <c r="AS25" i="8" s="1"/>
  <c r="AS28" i="8" s="1"/>
  <c r="AS29" i="8" s="1"/>
  <c r="AS12" i="8"/>
  <c r="AS36" i="7"/>
  <c r="AS23" i="7"/>
  <c r="AS8" i="7"/>
  <c r="AS27" i="7" s="1"/>
  <c r="AS41" i="8"/>
  <c r="AS37" i="8"/>
  <c r="AS38" i="8" s="1"/>
  <c r="AS39" i="8" s="1"/>
  <c r="AS40" i="8"/>
  <c r="AS40" i="6"/>
  <c r="AS37" i="6"/>
  <c r="AS38" i="6" s="1"/>
  <c r="AS39" i="6" s="1"/>
  <c r="AS41" i="6"/>
  <c r="N14" i="4"/>
  <c r="M67" i="4" s="1"/>
  <c r="N14" i="6"/>
  <c r="M67" i="6" s="1"/>
  <c r="S18" i="6"/>
  <c r="AR6" i="3"/>
  <c r="S18" i="8"/>
  <c r="S20" i="6"/>
  <c r="AG17" i="12"/>
  <c r="C26" i="12"/>
  <c r="C20" i="12"/>
  <c r="Y99" i="12"/>
  <c r="Y102" i="12" s="1"/>
  <c r="Y43" i="7"/>
  <c r="Y44" i="7"/>
  <c r="C19" i="7"/>
  <c r="AI19" i="5"/>
  <c r="Y85" i="5"/>
  <c r="Y86" i="5" s="1"/>
  <c r="M120" i="3"/>
  <c r="M131" i="3"/>
  <c r="M140" i="3" s="1"/>
  <c r="S22" i="8"/>
  <c r="Y82" i="9"/>
  <c r="Y70" i="9"/>
  <c r="M128" i="12"/>
  <c r="M138" i="12" s="1"/>
  <c r="M131" i="12"/>
  <c r="M140" i="12" s="1"/>
  <c r="M130" i="12"/>
  <c r="M129" i="12"/>
  <c r="M139" i="12" s="1"/>
  <c r="AS23" i="10"/>
  <c r="AS36" i="10"/>
  <c r="AS8" i="10"/>
  <c r="AS27" i="10" s="1"/>
  <c r="N17" i="11"/>
  <c r="S16" i="11" s="1"/>
  <c r="AB95" i="10"/>
  <c r="M131" i="8"/>
  <c r="M140" i="8" s="1"/>
  <c r="M129" i="8"/>
  <c r="M139" i="8" s="1"/>
  <c r="M130" i="8"/>
  <c r="M128" i="8"/>
  <c r="M138" i="8" s="1"/>
  <c r="R89" i="5"/>
  <c r="AK27" i="5" s="1"/>
  <c r="Y82" i="6"/>
  <c r="Y86" i="6" s="1"/>
  <c r="Y70" i="6"/>
  <c r="N16" i="6"/>
  <c r="N17" i="6" s="1"/>
  <c r="N18" i="6"/>
  <c r="M56" i="3"/>
  <c r="S20" i="11"/>
  <c r="AS24" i="10"/>
  <c r="AS25" i="10" s="1"/>
  <c r="AS28" i="10" s="1"/>
  <c r="AS29" i="10" s="1"/>
  <c r="AS12" i="10"/>
  <c r="M131" i="7"/>
  <c r="M140" i="7" s="1"/>
  <c r="M129" i="7"/>
  <c r="M139" i="7" s="1"/>
  <c r="M130" i="7"/>
  <c r="M128" i="7"/>
  <c r="M138" i="7" s="1"/>
  <c r="N28" i="7"/>
  <c r="P116" i="7"/>
  <c r="Y82" i="8"/>
  <c r="Y70" i="8"/>
  <c r="M56" i="11"/>
  <c r="M110" i="8"/>
  <c r="M106" i="8"/>
  <c r="M104" i="8"/>
  <c r="M109" i="8"/>
  <c r="M105" i="8"/>
  <c r="AS24" i="5"/>
  <c r="AS25" i="5" s="1"/>
  <c r="AS28" i="5" s="1"/>
  <c r="AS29" i="5" s="1"/>
  <c r="AS12" i="5"/>
  <c r="AS24" i="3"/>
  <c r="AS25" i="3" s="1"/>
  <c r="AS28" i="3" s="1"/>
  <c r="AS29" i="3" s="1"/>
  <c r="AS12" i="3"/>
  <c r="M110" i="7"/>
  <c r="M106" i="7"/>
  <c r="M109" i="7"/>
  <c r="M105" i="7"/>
  <c r="M104" i="7"/>
  <c r="N28" i="10"/>
  <c r="P116" i="10"/>
  <c r="S19" i="7"/>
  <c r="Y69" i="6"/>
  <c r="S69" i="6"/>
  <c r="Y90" i="6"/>
  <c r="Y91" i="6" s="1"/>
  <c r="Y64" i="6"/>
  <c r="F12" i="6"/>
  <c r="Y101" i="6"/>
  <c r="AS12" i="12"/>
  <c r="AS24" i="12"/>
  <c r="AS25" i="12" s="1"/>
  <c r="AS28" i="12" s="1"/>
  <c r="AS29" i="12" s="1"/>
  <c r="S19" i="9"/>
  <c r="Y44" i="12"/>
  <c r="Y45" i="12" s="1"/>
  <c r="Y43" i="12"/>
  <c r="C19" i="12"/>
  <c r="M109" i="12"/>
  <c r="M106" i="12"/>
  <c r="M105" i="12"/>
  <c r="M110" i="12"/>
  <c r="M104" i="12"/>
  <c r="M57" i="11"/>
  <c r="M58" i="11" s="1"/>
  <c r="M59" i="11" s="1"/>
  <c r="Q58" i="11" s="1"/>
  <c r="O89" i="11" s="1"/>
  <c r="Y85" i="9"/>
  <c r="P33" i="5"/>
  <c r="M57" i="5"/>
  <c r="M56" i="5"/>
  <c r="AR6" i="5"/>
  <c r="Y40" i="5"/>
  <c r="R86" i="8"/>
  <c r="AK24" i="8" s="1"/>
  <c r="R87" i="8"/>
  <c r="AK25" i="8" s="1"/>
  <c r="S14" i="6"/>
  <c r="M57" i="3"/>
  <c r="P116" i="9"/>
  <c r="N28" i="9"/>
  <c r="B38" i="2"/>
  <c r="F38" i="2"/>
  <c r="D38" i="2"/>
  <c r="C38" i="2"/>
  <c r="S14" i="8"/>
  <c r="AR6" i="8"/>
  <c r="Y94" i="9"/>
  <c r="Y99" i="11"/>
  <c r="C20" i="11"/>
  <c r="N71" i="12"/>
  <c r="S71" i="12"/>
  <c r="R89" i="12"/>
  <c r="AK27" i="12" s="1"/>
  <c r="M110" i="10"/>
  <c r="M109" i="10"/>
  <c r="M106" i="10"/>
  <c r="M104" i="10"/>
  <c r="M105" i="10"/>
  <c r="N16" i="10"/>
  <c r="N17" i="10" s="1"/>
  <c r="N18" i="10"/>
  <c r="S16" i="10" s="1"/>
  <c r="M55" i="10" s="1"/>
  <c r="M131" i="11"/>
  <c r="M140" i="11" s="1"/>
  <c r="M131" i="10"/>
  <c r="M140" i="10" s="1"/>
  <c r="M130" i="10"/>
  <c r="M129" i="10"/>
  <c r="M139" i="10" s="1"/>
  <c r="M128" i="10"/>
  <c r="M138" i="10" s="1"/>
  <c r="AR6" i="11"/>
  <c r="Y102" i="10"/>
  <c r="Y69" i="10"/>
  <c r="S69" i="10"/>
  <c r="Y101" i="10"/>
  <c r="F12" i="10"/>
  <c r="Y90" i="10"/>
  <c r="Y91" i="10" s="1"/>
  <c r="Y64" i="10"/>
  <c r="M120" i="5"/>
  <c r="Y64" i="5"/>
  <c r="F12" i="5"/>
  <c r="Y90" i="5"/>
  <c r="Y91" i="5" s="1"/>
  <c r="Y69" i="5"/>
  <c r="S69" i="5"/>
  <c r="Y101" i="5"/>
  <c r="S17" i="11"/>
  <c r="S20" i="8"/>
  <c r="S18" i="12"/>
  <c r="R89" i="3"/>
  <c r="AK27" i="3" s="1"/>
  <c r="AS12" i="11"/>
  <c r="AS24" i="11"/>
  <c r="AS25" i="11" s="1"/>
  <c r="AS28" i="11" s="1"/>
  <c r="AS29" i="11" s="1"/>
  <c r="S71" i="7"/>
  <c r="R89" i="7"/>
  <c r="AK27" i="7" s="1"/>
  <c r="N71" i="7"/>
  <c r="N18" i="7"/>
  <c r="N16" i="7"/>
  <c r="N17" i="7" s="1"/>
  <c r="Y45" i="8"/>
  <c r="M106" i="6"/>
  <c r="M105" i="6"/>
  <c r="M104" i="6"/>
  <c r="M110" i="6"/>
  <c r="M109" i="6"/>
  <c r="Y94" i="4"/>
  <c r="C20" i="3"/>
  <c r="Y99" i="3"/>
  <c r="Y102" i="3" s="1"/>
  <c r="Y86" i="3"/>
  <c r="S20" i="12"/>
  <c r="AS24" i="4"/>
  <c r="AS25" i="4" s="1"/>
  <c r="AS28" i="4" s="1"/>
  <c r="AS29" i="4" s="1"/>
  <c r="AS12" i="4"/>
  <c r="Q4" i="12"/>
  <c r="Y83" i="12" s="1"/>
  <c r="C40" i="12"/>
  <c r="D18" i="2" s="1"/>
  <c r="S19" i="10"/>
  <c r="Y90" i="9"/>
  <c r="Y91" i="9" s="1"/>
  <c r="AR6" i="10"/>
  <c r="M57" i="10"/>
  <c r="M56" i="10"/>
  <c r="P33" i="10"/>
  <c r="M106" i="9"/>
  <c r="M105" i="9"/>
  <c r="M104" i="9"/>
  <c r="M110" i="9"/>
  <c r="M109" i="9"/>
  <c r="Y94" i="8"/>
  <c r="AG19" i="8" s="1"/>
  <c r="Y69" i="8"/>
  <c r="C20" i="7"/>
  <c r="Y99" i="7"/>
  <c r="M129" i="6"/>
  <c r="M139" i="6" s="1"/>
  <c r="M131" i="6"/>
  <c r="M140" i="6" s="1"/>
  <c r="M130" i="6"/>
  <c r="M128" i="6"/>
  <c r="M138" i="6" s="1"/>
  <c r="AR6" i="7"/>
  <c r="S19" i="12"/>
  <c r="Y90" i="11"/>
  <c r="Y91" i="11" s="1"/>
  <c r="Y64" i="11"/>
  <c r="Y101" i="11"/>
  <c r="Y69" i="11"/>
  <c r="S69" i="11"/>
  <c r="Y102" i="11"/>
  <c r="F12" i="11"/>
  <c r="S71" i="9"/>
  <c r="R89" i="9"/>
  <c r="AK27" i="9" s="1"/>
  <c r="N71" i="9"/>
  <c r="O87" i="8"/>
  <c r="O86" i="8"/>
  <c r="Y101" i="8"/>
  <c r="Y90" i="7"/>
  <c r="Y91" i="7" s="1"/>
  <c r="Y69" i="7"/>
  <c r="Y102" i="7"/>
  <c r="Y101" i="7"/>
  <c r="S69" i="7"/>
  <c r="F12" i="7"/>
  <c r="Y64" i="7"/>
  <c r="M106" i="4"/>
  <c r="C40" i="8"/>
  <c r="D14" i="2" s="1"/>
  <c r="Q4" i="8"/>
  <c r="Y83" i="8" s="1"/>
  <c r="AS37" i="11"/>
  <c r="AS38" i="11" s="1"/>
  <c r="AS39" i="11" s="1"/>
  <c r="AS41" i="11"/>
  <c r="AS40" i="11"/>
  <c r="Y49" i="8"/>
  <c r="Y51" i="8"/>
  <c r="Y50" i="8"/>
  <c r="C18" i="8"/>
  <c r="M56" i="4"/>
  <c r="M56" i="7"/>
  <c r="Y43" i="11"/>
  <c r="Y44" i="11"/>
  <c r="Y45" i="11" s="1"/>
  <c r="C19" i="11"/>
  <c r="M58" i="12"/>
  <c r="M59" i="12" s="1"/>
  <c r="Q57" i="12" s="1"/>
  <c r="M105" i="11"/>
  <c r="M109" i="11"/>
  <c r="M106" i="11"/>
  <c r="M104" i="11"/>
  <c r="M110" i="11"/>
  <c r="S19" i="11"/>
  <c r="S16" i="9"/>
  <c r="M55" i="9" s="1"/>
  <c r="Y64" i="8"/>
  <c r="AB95" i="6"/>
  <c r="AI19" i="6"/>
  <c r="Y85" i="6"/>
  <c r="AR6" i="12"/>
  <c r="Y101" i="9"/>
  <c r="Y90" i="8"/>
  <c r="Y91" i="8" s="1"/>
  <c r="AR6" i="9"/>
  <c r="Y40" i="9"/>
  <c r="M57" i="9"/>
  <c r="M58" i="9" s="1"/>
  <c r="M59" i="9" s="1"/>
  <c r="Q58" i="9" s="1"/>
  <c r="O89" i="9" s="1"/>
  <c r="P33" i="9"/>
  <c r="M56" i="9"/>
  <c r="AS41" i="3"/>
  <c r="AS37" i="3"/>
  <c r="AS38" i="3" s="1"/>
  <c r="AS39" i="3" s="1"/>
  <c r="AS40" i="3"/>
  <c r="M57" i="7"/>
  <c r="M58" i="7" s="1"/>
  <c r="M59" i="7" s="1"/>
  <c r="Q58" i="7" s="1"/>
  <c r="O89" i="7" s="1"/>
  <c r="B30" i="2"/>
  <c r="F30" i="2"/>
  <c r="D30" i="2"/>
  <c r="C30" i="2"/>
  <c r="C20" i="4"/>
  <c r="Y99" i="4"/>
  <c r="Y102" i="4" s="1"/>
  <c r="M80" i="12"/>
  <c r="M78" i="12"/>
  <c r="C19" i="10"/>
  <c r="Y44" i="10"/>
  <c r="Y43" i="10"/>
  <c r="H41" i="9"/>
  <c r="Q8" i="9"/>
  <c r="M34" i="9" s="1"/>
  <c r="M129" i="9"/>
  <c r="M139" i="9" s="1"/>
  <c r="M128" i="9"/>
  <c r="M138" i="9" s="1"/>
  <c r="M131" i="9"/>
  <c r="M140" i="9" s="1"/>
  <c r="M130" i="9"/>
  <c r="AS24" i="6"/>
  <c r="AS25" i="6" s="1"/>
  <c r="AS28" i="6" s="1"/>
  <c r="AS29" i="6" s="1"/>
  <c r="AS12" i="6"/>
  <c r="C20" i="5"/>
  <c r="Y99" i="5"/>
  <c r="Y102" i="5" s="1"/>
  <c r="M57" i="6"/>
  <c r="M58" i="6" s="1"/>
  <c r="M59" i="6" s="1"/>
  <c r="Q58" i="6" s="1"/>
  <c r="O89" i="6" s="1"/>
  <c r="M56" i="6"/>
  <c r="AR6" i="6"/>
  <c r="P33" i="6"/>
  <c r="Y64" i="4"/>
  <c r="Y90" i="4"/>
  <c r="Y91" i="4" s="1"/>
  <c r="Y101" i="4"/>
  <c r="Y69" i="4"/>
  <c r="S69" i="4"/>
  <c r="F12" i="4"/>
  <c r="D34" i="2"/>
  <c r="C34" i="2"/>
  <c r="B34" i="2"/>
  <c r="F34" i="2"/>
  <c r="S18" i="5"/>
  <c r="S71" i="8"/>
  <c r="R89" i="8"/>
  <c r="AK27" i="8" s="1"/>
  <c r="N71" i="8"/>
  <c r="AS8" i="12"/>
  <c r="AS27" i="12" s="1"/>
  <c r="AS36" i="12"/>
  <c r="AS23" i="12"/>
  <c r="R89" i="10"/>
  <c r="AK27" i="10" s="1"/>
  <c r="S71" i="10"/>
  <c r="N71" i="10"/>
  <c r="AS24" i="7"/>
  <c r="AS25" i="7" s="1"/>
  <c r="AS28" i="7" s="1"/>
  <c r="AS29" i="7" s="1"/>
  <c r="AS12" i="7"/>
  <c r="AS36" i="5"/>
  <c r="AS23" i="5"/>
  <c r="AS8" i="5"/>
  <c r="AS27" i="5" s="1"/>
  <c r="Y43" i="3"/>
  <c r="C19" i="3"/>
  <c r="Y44" i="3"/>
  <c r="AR7" i="4" l="1"/>
  <c r="AR8" i="4" s="1"/>
  <c r="Y50" i="4"/>
  <c r="AB95" i="5"/>
  <c r="AJ19" i="5" s="1"/>
  <c r="M55" i="5"/>
  <c r="M68" i="5" s="1"/>
  <c r="M58" i="5"/>
  <c r="M59" i="5" s="1"/>
  <c r="C18" i="4"/>
  <c r="P116" i="4"/>
  <c r="P116" i="3"/>
  <c r="Y45" i="3"/>
  <c r="Y49" i="3" s="1"/>
  <c r="AB95" i="3"/>
  <c r="AJ19" i="3" s="1"/>
  <c r="S16" i="3"/>
  <c r="M55" i="3" s="1"/>
  <c r="M89" i="3" s="1"/>
  <c r="B34" i="3" s="1"/>
  <c r="AG27" i="3" s="1"/>
  <c r="Y49" i="4"/>
  <c r="S16" i="4"/>
  <c r="M55" i="4" s="1"/>
  <c r="M68" i="4" s="1"/>
  <c r="M58" i="3"/>
  <c r="M59" i="3" s="1"/>
  <c r="Q57" i="3" s="1"/>
  <c r="S21" i="9"/>
  <c r="M115" i="9" s="1"/>
  <c r="S21" i="11"/>
  <c r="M115" i="11" s="1"/>
  <c r="M116" i="9"/>
  <c r="M116" i="11"/>
  <c r="M116" i="10"/>
  <c r="M89" i="8"/>
  <c r="B34" i="8" s="1"/>
  <c r="AG27" i="8" s="1"/>
  <c r="M68" i="12"/>
  <c r="N69" i="12" s="1"/>
  <c r="M55" i="11"/>
  <c r="M68" i="11" s="1"/>
  <c r="S21" i="7"/>
  <c r="M27" i="7" s="1"/>
  <c r="M29" i="7" s="1"/>
  <c r="N27" i="6"/>
  <c r="N29" i="6" s="1"/>
  <c r="M116" i="3"/>
  <c r="S21" i="10"/>
  <c r="M27" i="10" s="1"/>
  <c r="M29" i="10" s="1"/>
  <c r="N27" i="7"/>
  <c r="N29" i="7" s="1"/>
  <c r="S21" i="3"/>
  <c r="M27" i="3" s="1"/>
  <c r="S21" i="5"/>
  <c r="M115" i="5" s="1"/>
  <c r="S22" i="12"/>
  <c r="M116" i="12" s="1"/>
  <c r="N27" i="5"/>
  <c r="N29" i="5" s="1"/>
  <c r="D23" i="6"/>
  <c r="AI15" i="6" s="1"/>
  <c r="AI17" i="6" s="1"/>
  <c r="AB91" i="6"/>
  <c r="D23" i="7"/>
  <c r="AI15" i="7" s="1"/>
  <c r="AI17" i="7" s="1"/>
  <c r="AB91" i="7"/>
  <c r="AC95" i="6"/>
  <c r="AK19" i="6" s="1"/>
  <c r="AJ19" i="6"/>
  <c r="G6" i="6" s="1"/>
  <c r="AS37" i="5"/>
  <c r="AS38" i="5" s="1"/>
  <c r="AS39" i="5" s="1"/>
  <c r="AS41" i="5"/>
  <c r="AS40" i="5"/>
  <c r="AG17" i="8"/>
  <c r="C26" i="8"/>
  <c r="Y49" i="12"/>
  <c r="C18" i="12"/>
  <c r="Y51" i="12"/>
  <c r="Y50" i="12"/>
  <c r="AR26" i="4"/>
  <c r="AR37" i="4"/>
  <c r="AR38" i="4" s="1"/>
  <c r="C18" i="11"/>
  <c r="Y50" i="11"/>
  <c r="Y49" i="11"/>
  <c r="Y51" i="11"/>
  <c r="AR25" i="5"/>
  <c r="AR7" i="5"/>
  <c r="S16" i="6"/>
  <c r="M55" i="6" s="1"/>
  <c r="AR32" i="12"/>
  <c r="AS32" i="12" s="1"/>
  <c r="AR25" i="12"/>
  <c r="AR7" i="12"/>
  <c r="M80" i="7"/>
  <c r="M78" i="7"/>
  <c r="Q56" i="7"/>
  <c r="Q57" i="7"/>
  <c r="Q8" i="7"/>
  <c r="M34" i="7" s="1"/>
  <c r="H41" i="7"/>
  <c r="P116" i="12"/>
  <c r="N28" i="12"/>
  <c r="AG19" i="9"/>
  <c r="AB95" i="9"/>
  <c r="M80" i="5"/>
  <c r="M78" i="5"/>
  <c r="P115" i="9"/>
  <c r="P94" i="9"/>
  <c r="M28" i="9"/>
  <c r="P95" i="9"/>
  <c r="P117" i="9" s="1"/>
  <c r="Y99" i="8"/>
  <c r="Y102" i="8" s="1"/>
  <c r="C20" i="8"/>
  <c r="Y45" i="7"/>
  <c r="AR32" i="8"/>
  <c r="AS32" i="8" s="1"/>
  <c r="AR25" i="8"/>
  <c r="AR7" i="8"/>
  <c r="C26" i="5"/>
  <c r="AG17" i="5"/>
  <c r="P115" i="3"/>
  <c r="P95" i="3"/>
  <c r="P117" i="3" s="1"/>
  <c r="P94" i="3"/>
  <c r="M28" i="3"/>
  <c r="M80" i="4"/>
  <c r="M78" i="4"/>
  <c r="M80" i="10"/>
  <c r="M78" i="10"/>
  <c r="H41" i="5"/>
  <c r="Q8" i="5"/>
  <c r="M34" i="5" s="1"/>
  <c r="M89" i="10"/>
  <c r="B34" i="10" s="1"/>
  <c r="AG27" i="10" s="1"/>
  <c r="M68" i="10"/>
  <c r="C20" i="9"/>
  <c r="Y99" i="9"/>
  <c r="Y102" i="9" s="1"/>
  <c r="Y86" i="9"/>
  <c r="Y51" i="6"/>
  <c r="Y49" i="6"/>
  <c r="C18" i="6"/>
  <c r="Y50" i="6"/>
  <c r="S19" i="8"/>
  <c r="S21" i="8"/>
  <c r="Y99" i="6"/>
  <c r="Y102" i="6" s="1"/>
  <c r="C20" i="6"/>
  <c r="M89" i="9"/>
  <c r="B34" i="9" s="1"/>
  <c r="AG27" i="9" s="1"/>
  <c r="M68" i="9"/>
  <c r="M35" i="9"/>
  <c r="P32" i="9" s="1"/>
  <c r="U33" i="9"/>
  <c r="C26" i="7"/>
  <c r="AG17" i="7"/>
  <c r="AR7" i="7"/>
  <c r="AR25" i="7"/>
  <c r="AR32" i="7"/>
  <c r="AS32" i="7" s="1"/>
  <c r="M58" i="10"/>
  <c r="M59" i="10" s="1"/>
  <c r="Q58" i="10" s="1"/>
  <c r="O89" i="10" s="1"/>
  <c r="D34" i="11"/>
  <c r="AI27" i="11" s="1"/>
  <c r="N27" i="8"/>
  <c r="N29" i="8" s="1"/>
  <c r="M116" i="8"/>
  <c r="AS40" i="7"/>
  <c r="AS41" i="7"/>
  <c r="AS37" i="7"/>
  <c r="AS38" i="7" s="1"/>
  <c r="AS39" i="7" s="1"/>
  <c r="AB91" i="3"/>
  <c r="D23" i="3"/>
  <c r="AI15" i="3" s="1"/>
  <c r="AI17" i="3" s="1"/>
  <c r="N27" i="4"/>
  <c r="N29" i="4" s="1"/>
  <c r="M116" i="4"/>
  <c r="AG19" i="4"/>
  <c r="AB95" i="4"/>
  <c r="M28" i="11"/>
  <c r="P115" i="11"/>
  <c r="P94" i="11"/>
  <c r="P95" i="11"/>
  <c r="P117" i="11" s="1"/>
  <c r="C18" i="10"/>
  <c r="Y51" i="10"/>
  <c r="Y49" i="10"/>
  <c r="Y50" i="10"/>
  <c r="AR7" i="10"/>
  <c r="AR32" i="10"/>
  <c r="AS32" i="10" s="1"/>
  <c r="AR25" i="10"/>
  <c r="P116" i="8"/>
  <c r="N28" i="8"/>
  <c r="H41" i="6"/>
  <c r="Q8" i="6"/>
  <c r="M34" i="6" s="1"/>
  <c r="N29" i="3"/>
  <c r="M27" i="12"/>
  <c r="M29" i="12" s="1"/>
  <c r="M115" i="12"/>
  <c r="AS37" i="12"/>
  <c r="AS38" i="12" s="1"/>
  <c r="AS39" i="12" s="1"/>
  <c r="AS41" i="12"/>
  <c r="AS40" i="12"/>
  <c r="P95" i="12"/>
  <c r="P117" i="12" s="1"/>
  <c r="P94" i="12"/>
  <c r="P115" i="12"/>
  <c r="M28" i="12"/>
  <c r="Y56" i="8"/>
  <c r="Y55" i="8"/>
  <c r="Y57" i="8" s="1"/>
  <c r="AB49" i="8"/>
  <c r="AG17" i="4"/>
  <c r="C26" i="4"/>
  <c r="M78" i="9"/>
  <c r="M80" i="9"/>
  <c r="Q56" i="9"/>
  <c r="Q57" i="9"/>
  <c r="Y45" i="10"/>
  <c r="D31" i="8"/>
  <c r="AI24" i="8" s="1"/>
  <c r="C26" i="9"/>
  <c r="AG17" i="9"/>
  <c r="N28" i="6"/>
  <c r="P116" i="6"/>
  <c r="AB95" i="11"/>
  <c r="D34" i="9"/>
  <c r="AI27" i="9" s="1"/>
  <c r="AG17" i="3"/>
  <c r="C26" i="3"/>
  <c r="D23" i="11"/>
  <c r="AI15" i="11" s="1"/>
  <c r="AI17" i="11" s="1"/>
  <c r="AB91" i="11"/>
  <c r="Y51" i="3"/>
  <c r="Y50" i="3"/>
  <c r="C18" i="3"/>
  <c r="D32" i="8"/>
  <c r="AI25" i="8" s="1"/>
  <c r="AG17" i="10"/>
  <c r="C26" i="10"/>
  <c r="AR32" i="6"/>
  <c r="AS32" i="6" s="1"/>
  <c r="AR25" i="6"/>
  <c r="AR7" i="6"/>
  <c r="C19" i="9"/>
  <c r="Y44" i="9"/>
  <c r="Y45" i="9" s="1"/>
  <c r="Y43" i="9"/>
  <c r="Y85" i="8"/>
  <c r="Y86" i="8" s="1"/>
  <c r="AI19" i="8"/>
  <c r="AB95" i="8"/>
  <c r="P94" i="10"/>
  <c r="M28" i="10"/>
  <c r="P115" i="10"/>
  <c r="P95" i="10"/>
  <c r="P117" i="10" s="1"/>
  <c r="P95" i="4"/>
  <c r="P117" i="4" s="1"/>
  <c r="P115" i="4"/>
  <c r="M28" i="4"/>
  <c r="P94" i="4"/>
  <c r="Q8" i="10"/>
  <c r="M34" i="10" s="1"/>
  <c r="H41" i="10"/>
  <c r="AR25" i="3"/>
  <c r="AR7" i="3"/>
  <c r="M35" i="12"/>
  <c r="P32" i="12" s="1"/>
  <c r="U33" i="12"/>
  <c r="Q8" i="3"/>
  <c r="M34" i="3" s="1"/>
  <c r="H41" i="3"/>
  <c r="AB91" i="4"/>
  <c r="C26" i="6"/>
  <c r="AG17" i="6"/>
  <c r="M78" i="6"/>
  <c r="M80" i="6"/>
  <c r="Q56" i="6"/>
  <c r="Q57" i="6"/>
  <c r="AR25" i="9"/>
  <c r="AR32" i="9"/>
  <c r="AS32" i="9" s="1"/>
  <c r="AR7" i="9"/>
  <c r="S21" i="4"/>
  <c r="AJ19" i="10"/>
  <c r="G6" i="10" s="1"/>
  <c r="AC95" i="10"/>
  <c r="AK19" i="10" s="1"/>
  <c r="D34" i="7"/>
  <c r="AI27" i="7" s="1"/>
  <c r="D34" i="6"/>
  <c r="AI27" i="6" s="1"/>
  <c r="R89" i="6"/>
  <c r="AK27" i="6" s="1"/>
  <c r="S71" i="6"/>
  <c r="N71" i="6"/>
  <c r="H41" i="11"/>
  <c r="Q8" i="11"/>
  <c r="M34" i="11" s="1"/>
  <c r="Y86" i="12"/>
  <c r="AB95" i="12"/>
  <c r="Y85" i="12"/>
  <c r="AI19" i="12"/>
  <c r="S16" i="7"/>
  <c r="M55" i="7" s="1"/>
  <c r="R89" i="4"/>
  <c r="AK27" i="4" s="1"/>
  <c r="Y49" i="7"/>
  <c r="Y51" i="7"/>
  <c r="C18" i="7"/>
  <c r="Y50" i="7"/>
  <c r="C26" i="11"/>
  <c r="AG17" i="11"/>
  <c r="H41" i="4"/>
  <c r="Q8" i="4"/>
  <c r="M34" i="4" s="1"/>
  <c r="D34" i="8"/>
  <c r="AI27" i="8" s="1"/>
  <c r="Q58" i="12"/>
  <c r="O89" i="12" s="1"/>
  <c r="Q56" i="12"/>
  <c r="S19" i="6"/>
  <c r="S21" i="6"/>
  <c r="M28" i="5"/>
  <c r="P95" i="5"/>
  <c r="P117" i="5" s="1"/>
  <c r="P115" i="5"/>
  <c r="P94" i="5"/>
  <c r="P95" i="7"/>
  <c r="P117" i="7" s="1"/>
  <c r="P94" i="7"/>
  <c r="P115" i="7"/>
  <c r="M28" i="7"/>
  <c r="N28" i="11"/>
  <c r="P116" i="11"/>
  <c r="AS40" i="10"/>
  <c r="AS37" i="10"/>
  <c r="AS38" i="10" s="1"/>
  <c r="AS39" i="10" s="1"/>
  <c r="AS41" i="10"/>
  <c r="AB91" i="5"/>
  <c r="D23" i="5"/>
  <c r="AI15" i="5" s="1"/>
  <c r="AI17" i="5" s="1"/>
  <c r="M58" i="4"/>
  <c r="M59" i="4" s="1"/>
  <c r="AR7" i="11"/>
  <c r="AR32" i="11"/>
  <c r="AS32" i="11" s="1"/>
  <c r="AR25" i="11"/>
  <c r="Y44" i="5"/>
  <c r="Y45" i="5" s="1"/>
  <c r="Y43" i="5"/>
  <c r="C19" i="5"/>
  <c r="M80" i="11"/>
  <c r="M78" i="11"/>
  <c r="Q57" i="11"/>
  <c r="Q56" i="11"/>
  <c r="M80" i="3"/>
  <c r="M78" i="3"/>
  <c r="AB91" i="10"/>
  <c r="AC95" i="7"/>
  <c r="AK19" i="7" s="1"/>
  <c r="AJ19" i="7"/>
  <c r="G6" i="7" s="1"/>
  <c r="N70" i="8"/>
  <c r="N69" i="8"/>
  <c r="AC95" i="5" l="1"/>
  <c r="AK19" i="5" s="1"/>
  <c r="G6" i="5"/>
  <c r="AC95" i="3"/>
  <c r="AK19" i="3" s="1"/>
  <c r="AR36" i="4"/>
  <c r="AR23" i="4"/>
  <c r="AR24" i="4" s="1"/>
  <c r="Y56" i="4"/>
  <c r="M89" i="5"/>
  <c r="B34" i="5" s="1"/>
  <c r="AG27" i="5" s="1"/>
  <c r="Q56" i="5"/>
  <c r="Q57" i="5"/>
  <c r="AB49" i="4"/>
  <c r="AB51" i="4" s="1"/>
  <c r="Y103" i="4" s="1"/>
  <c r="Y106" i="4" s="1"/>
  <c r="Y55" i="4"/>
  <c r="M68" i="3"/>
  <c r="N70" i="3" s="1"/>
  <c r="M89" i="4"/>
  <c r="B34" i="4" s="1"/>
  <c r="AG27" i="4" s="1"/>
  <c r="Q56" i="3"/>
  <c r="Q58" i="3" s="1"/>
  <c r="O89" i="3" s="1"/>
  <c r="P89" i="3" s="1"/>
  <c r="Q89" i="3" s="1"/>
  <c r="AJ27" i="3" s="1"/>
  <c r="G6" i="3"/>
  <c r="M27" i="9"/>
  <c r="M29" i="9" s="1"/>
  <c r="M94" i="9"/>
  <c r="M145" i="9" s="1"/>
  <c r="Q145" i="9" s="1"/>
  <c r="S145" i="9" s="1"/>
  <c r="R28" i="9" s="1"/>
  <c r="M94" i="11"/>
  <c r="N109" i="11" s="1"/>
  <c r="M146" i="11" s="1"/>
  <c r="M27" i="11"/>
  <c r="M29" i="11" s="1"/>
  <c r="N70" i="12"/>
  <c r="P89" i="8"/>
  <c r="Q89" i="8" s="1"/>
  <c r="AJ27" i="8" s="1"/>
  <c r="M94" i="12"/>
  <c r="M98" i="12" s="1"/>
  <c r="P89" i="9"/>
  <c r="Q89" i="9" s="1"/>
  <c r="AJ27" i="9" s="1"/>
  <c r="M89" i="11"/>
  <c r="B34" i="11" s="1"/>
  <c r="AG27" i="11" s="1"/>
  <c r="M94" i="7"/>
  <c r="M99" i="7" s="1"/>
  <c r="N103" i="7" s="1"/>
  <c r="M27" i="5"/>
  <c r="M29" i="5" s="1"/>
  <c r="M94" i="5"/>
  <c r="N105" i="5" s="1"/>
  <c r="M94" i="10"/>
  <c r="N110" i="10" s="1"/>
  <c r="M147" i="10" s="1"/>
  <c r="Q147" i="10" s="1"/>
  <c r="S147" i="10" s="1"/>
  <c r="R29" i="10" s="1"/>
  <c r="M87" i="10" s="1"/>
  <c r="B32" i="10" s="1"/>
  <c r="AG25" i="10" s="1"/>
  <c r="M115" i="3"/>
  <c r="O145" i="3" s="1"/>
  <c r="M115" i="10"/>
  <c r="N123" i="10" s="1"/>
  <c r="M115" i="7"/>
  <c r="M124" i="7" s="1"/>
  <c r="N27" i="12"/>
  <c r="N29" i="12" s="1"/>
  <c r="M94" i="3"/>
  <c r="N109" i="3" s="1"/>
  <c r="M146" i="3" s="1"/>
  <c r="M29" i="3"/>
  <c r="D23" i="8"/>
  <c r="AI15" i="8" s="1"/>
  <c r="AI17" i="8" s="1"/>
  <c r="AB91" i="8"/>
  <c r="M35" i="11"/>
  <c r="P32" i="11" s="1"/>
  <c r="U33" i="11"/>
  <c r="AC91" i="4"/>
  <c r="AK17" i="4" s="1"/>
  <c r="AJ17" i="4"/>
  <c r="M115" i="6"/>
  <c r="M27" i="6"/>
  <c r="M29" i="6" s="1"/>
  <c r="M94" i="6"/>
  <c r="N145" i="7"/>
  <c r="P99" i="7"/>
  <c r="O103" i="7" s="1"/>
  <c r="O105" i="7"/>
  <c r="O110" i="7"/>
  <c r="N147" i="7" s="1"/>
  <c r="P100" i="7"/>
  <c r="N149" i="7" s="1"/>
  <c r="P98" i="7"/>
  <c r="O109" i="7"/>
  <c r="N146" i="7" s="1"/>
  <c r="AR37" i="6"/>
  <c r="AR38" i="6" s="1"/>
  <c r="AR26" i="6"/>
  <c r="N123" i="12"/>
  <c r="M124" i="12"/>
  <c r="M122" i="12"/>
  <c r="O145" i="12"/>
  <c r="R145" i="12" s="1"/>
  <c r="P34" i="9"/>
  <c r="Q34" i="9" s="1"/>
  <c r="U32" i="9"/>
  <c r="P35" i="9" s="1"/>
  <c r="Y55" i="11"/>
  <c r="Y57" i="11" s="1"/>
  <c r="Y56" i="11"/>
  <c r="AB49" i="11"/>
  <c r="N70" i="10"/>
  <c r="N69" i="10"/>
  <c r="P100" i="5"/>
  <c r="N149" i="5" s="1"/>
  <c r="P99" i="5"/>
  <c r="O103" i="5" s="1"/>
  <c r="P98" i="5"/>
  <c r="O110" i="5"/>
  <c r="N147" i="5" s="1"/>
  <c r="O109" i="5"/>
  <c r="N146" i="5" s="1"/>
  <c r="O105" i="5"/>
  <c r="N145" i="5"/>
  <c r="AC95" i="12"/>
  <c r="AK19" i="12" s="1"/>
  <c r="AJ19" i="12"/>
  <c r="G6" i="12" s="1"/>
  <c r="P145" i="4"/>
  <c r="P124" i="4"/>
  <c r="P122" i="4"/>
  <c r="N70" i="9"/>
  <c r="N69" i="9"/>
  <c r="O110" i="3"/>
  <c r="N147" i="3" s="1"/>
  <c r="N145" i="3"/>
  <c r="O109" i="3"/>
  <c r="N146" i="3" s="1"/>
  <c r="P100" i="3"/>
  <c r="N149" i="3" s="1"/>
  <c r="P99" i="3"/>
  <c r="O103" i="3" s="1"/>
  <c r="O105" i="3"/>
  <c r="P98" i="3"/>
  <c r="N70" i="4"/>
  <c r="N69" i="4"/>
  <c r="M115" i="4"/>
  <c r="M27" i="4"/>
  <c r="M29" i="4" s="1"/>
  <c r="M94" i="4"/>
  <c r="M35" i="3"/>
  <c r="P32" i="3" s="1"/>
  <c r="U33" i="3" s="1"/>
  <c r="O109" i="10"/>
  <c r="N146" i="10" s="1"/>
  <c r="P100" i="10"/>
  <c r="N149" i="10" s="1"/>
  <c r="N145" i="10"/>
  <c r="P98" i="10"/>
  <c r="O110" i="10"/>
  <c r="N147" i="10" s="1"/>
  <c r="O105" i="10"/>
  <c r="P99" i="10"/>
  <c r="O103" i="10" s="1"/>
  <c r="AC95" i="11"/>
  <c r="AK19" i="11" s="1"/>
  <c r="AJ19" i="11"/>
  <c r="G6" i="11" s="1"/>
  <c r="AB51" i="8"/>
  <c r="Y103" i="8" s="1"/>
  <c r="Y106" i="8" s="1"/>
  <c r="AJ19" i="4"/>
  <c r="AC95" i="4"/>
  <c r="AK19" i="4" s="1"/>
  <c r="M115" i="8"/>
  <c r="M27" i="8"/>
  <c r="M29" i="8" s="1"/>
  <c r="M94" i="8"/>
  <c r="AB91" i="12"/>
  <c r="D23" i="12"/>
  <c r="AI15" i="12" s="1"/>
  <c r="AI17" i="12" s="1"/>
  <c r="AR8" i="9"/>
  <c r="AR36" i="9"/>
  <c r="AR23" i="9"/>
  <c r="AR24" i="9" s="1"/>
  <c r="AC95" i="8"/>
  <c r="AK19" i="8" s="1"/>
  <c r="AJ19" i="8"/>
  <c r="G6" i="8" s="1"/>
  <c r="Y59" i="8"/>
  <c r="Y60" i="8"/>
  <c r="B24" i="8" s="1"/>
  <c r="AG16" i="8" s="1"/>
  <c r="AG20" i="8" s="1"/>
  <c r="M35" i="6"/>
  <c r="P32" i="6" s="1"/>
  <c r="U33" i="6"/>
  <c r="P95" i="8"/>
  <c r="P117" i="8" s="1"/>
  <c r="P94" i="8"/>
  <c r="M28" i="8"/>
  <c r="P115" i="8"/>
  <c r="M68" i="6"/>
  <c r="M89" i="6"/>
  <c r="AR8" i="12"/>
  <c r="AR36" i="12"/>
  <c r="AR23" i="12"/>
  <c r="AR24" i="12" s="1"/>
  <c r="O109" i="11"/>
  <c r="N146" i="11" s="1"/>
  <c r="P100" i="11"/>
  <c r="N149" i="11" s="1"/>
  <c r="P99" i="11"/>
  <c r="O103" i="11" s="1"/>
  <c r="N145" i="11"/>
  <c r="P98" i="11"/>
  <c r="O105" i="11"/>
  <c r="O110" i="11"/>
  <c r="N147" i="11" s="1"/>
  <c r="AB49" i="7"/>
  <c r="Y56" i="7"/>
  <c r="Y55" i="7"/>
  <c r="Y57" i="7" s="1"/>
  <c r="P95" i="6"/>
  <c r="P117" i="6" s="1"/>
  <c r="M28" i="6"/>
  <c r="P94" i="6"/>
  <c r="P115" i="6"/>
  <c r="U32" i="12"/>
  <c r="P35" i="12" s="1"/>
  <c r="P34" i="12"/>
  <c r="Q34" i="12" s="1"/>
  <c r="Y56" i="3"/>
  <c r="Y55" i="3"/>
  <c r="AB49" i="3"/>
  <c r="X57" i="8"/>
  <c r="P89" i="10"/>
  <c r="Q89" i="10" s="1"/>
  <c r="AJ27" i="10" s="1"/>
  <c r="D34" i="10"/>
  <c r="AI27" i="10" s="1"/>
  <c r="Q56" i="10"/>
  <c r="AC95" i="9"/>
  <c r="AK19" i="9" s="1"/>
  <c r="AJ19" i="9"/>
  <c r="G6" i="9" s="1"/>
  <c r="N123" i="9"/>
  <c r="M122" i="9"/>
  <c r="O145" i="9"/>
  <c r="R145" i="9" s="1"/>
  <c r="M124" i="9"/>
  <c r="N70" i="11"/>
  <c r="N69" i="11"/>
  <c r="P124" i="10"/>
  <c r="P122" i="10"/>
  <c r="P145" i="10"/>
  <c r="N69" i="5"/>
  <c r="N70" i="5"/>
  <c r="Y51" i="5"/>
  <c r="Y50" i="5"/>
  <c r="Y49" i="5"/>
  <c r="C18" i="5"/>
  <c r="AR37" i="9"/>
  <c r="AR38" i="9" s="1"/>
  <c r="AR26" i="9"/>
  <c r="AR36" i="3"/>
  <c r="AR23" i="3"/>
  <c r="AR24" i="3" s="1"/>
  <c r="AR8" i="3"/>
  <c r="Q57" i="10"/>
  <c r="AJ17" i="7"/>
  <c r="B28" i="7" s="1"/>
  <c r="AC91" i="7"/>
  <c r="AK17" i="7" s="1"/>
  <c r="P122" i="5"/>
  <c r="P124" i="5"/>
  <c r="P145" i="5"/>
  <c r="O109" i="9"/>
  <c r="N146" i="9" s="1"/>
  <c r="O105" i="9"/>
  <c r="N145" i="9"/>
  <c r="P100" i="9"/>
  <c r="N149" i="9" s="1"/>
  <c r="P99" i="9"/>
  <c r="O103" i="9" s="1"/>
  <c r="O110" i="9"/>
  <c r="N147" i="9" s="1"/>
  <c r="P98" i="9"/>
  <c r="AR37" i="3"/>
  <c r="AR38" i="3" s="1"/>
  <c r="AR26" i="3"/>
  <c r="P122" i="12"/>
  <c r="P124" i="12"/>
  <c r="P145" i="12"/>
  <c r="N123" i="11"/>
  <c r="M124" i="11"/>
  <c r="O145" i="11"/>
  <c r="R145" i="11" s="1"/>
  <c r="M122" i="11"/>
  <c r="AR26" i="7"/>
  <c r="AR37" i="7"/>
  <c r="AR38" i="7" s="1"/>
  <c r="AB49" i="6"/>
  <c r="Y56" i="6"/>
  <c r="Y55" i="6"/>
  <c r="Y57" i="6" s="1"/>
  <c r="AR36" i="8"/>
  <c r="AR8" i="8"/>
  <c r="AR23" i="8"/>
  <c r="AR24" i="8" s="1"/>
  <c r="Y55" i="12"/>
  <c r="Y57" i="12" s="1"/>
  <c r="Y56" i="12"/>
  <c r="AB49" i="12"/>
  <c r="P124" i="9"/>
  <c r="P145" i="9"/>
  <c r="P122" i="9"/>
  <c r="AR26" i="11"/>
  <c r="AR37" i="11"/>
  <c r="AR38" i="11" s="1"/>
  <c r="M35" i="4"/>
  <c r="P32" i="4" s="1"/>
  <c r="U33" i="4" s="1"/>
  <c r="Y50" i="9"/>
  <c r="Y51" i="9"/>
  <c r="Y49" i="9"/>
  <c r="C18" i="9"/>
  <c r="AC91" i="11"/>
  <c r="AK17" i="11" s="1"/>
  <c r="AJ17" i="11"/>
  <c r="B28" i="11" s="1"/>
  <c r="P99" i="12"/>
  <c r="O103" i="12" s="1"/>
  <c r="N145" i="12"/>
  <c r="O109" i="12"/>
  <c r="N146" i="12" s="1"/>
  <c r="O105" i="12"/>
  <c r="P100" i="12"/>
  <c r="N149" i="12" s="1"/>
  <c r="O110" i="12"/>
  <c r="N147" i="12" s="1"/>
  <c r="P98" i="12"/>
  <c r="AR26" i="10"/>
  <c r="AR37" i="10"/>
  <c r="AR38" i="10" s="1"/>
  <c r="AR23" i="7"/>
  <c r="AR24" i="7" s="1"/>
  <c r="AR36" i="7"/>
  <c r="AR8" i="7"/>
  <c r="AR37" i="8"/>
  <c r="AR38" i="8" s="1"/>
  <c r="AR26" i="8"/>
  <c r="AR36" i="5"/>
  <c r="AR8" i="5"/>
  <c r="AR23" i="5"/>
  <c r="AR24" i="5" s="1"/>
  <c r="AR9" i="4"/>
  <c r="AR10" i="4" s="1"/>
  <c r="AR11" i="4" s="1"/>
  <c r="AR18" i="4" s="1"/>
  <c r="AR27" i="4"/>
  <c r="AR28" i="4" s="1"/>
  <c r="P145" i="11"/>
  <c r="P122" i="11"/>
  <c r="P124" i="11"/>
  <c r="D23" i="9"/>
  <c r="AI15" i="9" s="1"/>
  <c r="AI17" i="9" s="1"/>
  <c r="AB91" i="9"/>
  <c r="Q56" i="4"/>
  <c r="M35" i="5"/>
  <c r="P32" i="5" s="1"/>
  <c r="P34" i="5" s="1"/>
  <c r="U33" i="5"/>
  <c r="D34" i="12"/>
  <c r="AI27" i="12" s="1"/>
  <c r="P89" i="12"/>
  <c r="Q89" i="12" s="1"/>
  <c r="AJ27" i="12" s="1"/>
  <c r="AR8" i="11"/>
  <c r="AR23" i="11"/>
  <c r="AR24" i="11" s="1"/>
  <c r="AR36" i="11"/>
  <c r="AR8" i="10"/>
  <c r="AR36" i="10"/>
  <c r="AR23" i="10"/>
  <c r="AR24" i="10" s="1"/>
  <c r="Q57" i="4"/>
  <c r="M35" i="7"/>
  <c r="P32" i="7" s="1"/>
  <c r="U33" i="7"/>
  <c r="AR26" i="5"/>
  <c r="AR37" i="5"/>
  <c r="AR38" i="5" s="1"/>
  <c r="AJ17" i="6"/>
  <c r="B28" i="6" s="1"/>
  <c r="AC91" i="6"/>
  <c r="AK17" i="6" s="1"/>
  <c r="P145" i="3"/>
  <c r="P124" i="3"/>
  <c r="P122" i="3"/>
  <c r="AC91" i="5"/>
  <c r="AK17" i="5" s="1"/>
  <c r="AJ17" i="5"/>
  <c r="AC91" i="10"/>
  <c r="AK17" i="10" s="1"/>
  <c r="AJ17" i="10"/>
  <c r="B28" i="10" s="1"/>
  <c r="P124" i="7"/>
  <c r="P122" i="7"/>
  <c r="P145" i="7"/>
  <c r="M68" i="7"/>
  <c r="M89" i="7"/>
  <c r="M35" i="10"/>
  <c r="P32" i="10" s="1"/>
  <c r="AR37" i="12"/>
  <c r="AR38" i="12" s="1"/>
  <c r="AR26" i="12"/>
  <c r="M122" i="5"/>
  <c r="O145" i="5"/>
  <c r="M124" i="5"/>
  <c r="N123" i="5"/>
  <c r="P100" i="4"/>
  <c r="N149" i="4" s="1"/>
  <c r="P99" i="4"/>
  <c r="O103" i="4" s="1"/>
  <c r="O110" i="4"/>
  <c r="N147" i="4" s="1"/>
  <c r="O109" i="4"/>
  <c r="N146" i="4" s="1"/>
  <c r="P98" i="4"/>
  <c r="O105" i="4"/>
  <c r="N145" i="4"/>
  <c r="AR23" i="6"/>
  <c r="AR24" i="6" s="1"/>
  <c r="AR8" i="6"/>
  <c r="AR36" i="6"/>
  <c r="Y55" i="10"/>
  <c r="Y57" i="10" s="1"/>
  <c r="AB49" i="10"/>
  <c r="Y56" i="10"/>
  <c r="AJ17" i="3"/>
  <c r="AC91" i="3"/>
  <c r="AK17" i="3" s="1"/>
  <c r="Q58" i="5" l="1"/>
  <c r="O89" i="5" s="1"/>
  <c r="N71" i="5"/>
  <c r="Y57" i="4"/>
  <c r="Y59" i="4" s="1"/>
  <c r="B23" i="4" s="1"/>
  <c r="AG15" i="4" s="1"/>
  <c r="D34" i="5"/>
  <c r="AI27" i="5" s="1"/>
  <c r="P89" i="5"/>
  <c r="Q89" i="5" s="1"/>
  <c r="AJ27" i="5" s="1"/>
  <c r="G6" i="4"/>
  <c r="X57" i="4"/>
  <c r="N69" i="3"/>
  <c r="N71" i="3" s="1"/>
  <c r="N71" i="4"/>
  <c r="D34" i="3"/>
  <c r="AI27" i="3" s="1"/>
  <c r="Q58" i="4"/>
  <c r="O89" i="4" s="1"/>
  <c r="D34" i="4" s="1"/>
  <c r="AI27" i="4" s="1"/>
  <c r="M100" i="9"/>
  <c r="M149" i="9" s="1"/>
  <c r="Q149" i="9" s="1"/>
  <c r="S149" i="9" s="1"/>
  <c r="AC65" i="9" s="1"/>
  <c r="AI20" i="9" s="1"/>
  <c r="N110" i="11"/>
  <c r="M147" i="11" s="1"/>
  <c r="Q147" i="11" s="1"/>
  <c r="S147" i="11" s="1"/>
  <c r="R29" i="11" s="1"/>
  <c r="M87" i="11" s="1"/>
  <c r="B32" i="11" s="1"/>
  <c r="AG25" i="11" s="1"/>
  <c r="N105" i="11"/>
  <c r="M145" i="11"/>
  <c r="Q145" i="11" s="1"/>
  <c r="S145" i="11" s="1"/>
  <c r="R28" i="11" s="1"/>
  <c r="S68" i="11" s="1"/>
  <c r="S70" i="11" s="1"/>
  <c r="M99" i="11"/>
  <c r="N103" i="11" s="1"/>
  <c r="M148" i="11" s="1"/>
  <c r="Q148" i="11" s="1"/>
  <c r="S148" i="11" s="1"/>
  <c r="R30" i="11" s="1"/>
  <c r="M100" i="11"/>
  <c r="M149" i="11" s="1"/>
  <c r="Q149" i="11" s="1"/>
  <c r="S149" i="11" s="1"/>
  <c r="AC65" i="11" s="1"/>
  <c r="AI20" i="11" s="1"/>
  <c r="M98" i="11"/>
  <c r="N109" i="9"/>
  <c r="M146" i="9" s="1"/>
  <c r="M99" i="9"/>
  <c r="N103" i="9" s="1"/>
  <c r="M148" i="9" s="1"/>
  <c r="Q148" i="9" s="1"/>
  <c r="S148" i="9" s="1"/>
  <c r="R30" i="9" s="1"/>
  <c r="N110" i="9"/>
  <c r="M147" i="9" s="1"/>
  <c r="Q147" i="9" s="1"/>
  <c r="S147" i="9" s="1"/>
  <c r="R29" i="9" s="1"/>
  <c r="M87" i="9" s="1"/>
  <c r="B32" i="9" s="1"/>
  <c r="AG25" i="9" s="1"/>
  <c r="M98" i="9"/>
  <c r="N105" i="9"/>
  <c r="M98" i="10"/>
  <c r="M98" i="7"/>
  <c r="N105" i="7"/>
  <c r="M145" i="3"/>
  <c r="Q145" i="3" s="1"/>
  <c r="S145" i="3" s="1"/>
  <c r="R28" i="3" s="1"/>
  <c r="M145" i="7"/>
  <c r="Q145" i="7" s="1"/>
  <c r="S145" i="7" s="1"/>
  <c r="R28" i="7" s="1"/>
  <c r="M86" i="7" s="1"/>
  <c r="B31" i="7" s="1"/>
  <c r="AG24" i="7" s="1"/>
  <c r="N110" i="7"/>
  <c r="M147" i="7" s="1"/>
  <c r="Q147" i="7" s="1"/>
  <c r="S147" i="7" s="1"/>
  <c r="R29" i="7" s="1"/>
  <c r="M87" i="7" s="1"/>
  <c r="B32" i="7" s="1"/>
  <c r="AG25" i="7" s="1"/>
  <c r="N109" i="7"/>
  <c r="M146" i="7" s="1"/>
  <c r="M100" i="7"/>
  <c r="M149" i="7" s="1"/>
  <c r="Q149" i="7" s="1"/>
  <c r="S149" i="7" s="1"/>
  <c r="AC65" i="7" s="1"/>
  <c r="AI20" i="7" s="1"/>
  <c r="N109" i="12"/>
  <c r="M146" i="12" s="1"/>
  <c r="M99" i="12"/>
  <c r="N103" i="12" s="1"/>
  <c r="M148" i="12" s="1"/>
  <c r="Q148" i="12" s="1"/>
  <c r="S148" i="12" s="1"/>
  <c r="R30" i="12" s="1"/>
  <c r="N110" i="12"/>
  <c r="M147" i="12" s="1"/>
  <c r="Q147" i="12" s="1"/>
  <c r="S147" i="12" s="1"/>
  <c r="R29" i="12" s="1"/>
  <c r="M87" i="12" s="1"/>
  <c r="B32" i="12" s="1"/>
  <c r="AG25" i="12" s="1"/>
  <c r="M100" i="12"/>
  <c r="M149" i="12" s="1"/>
  <c r="Q149" i="12" s="1"/>
  <c r="S149" i="12" s="1"/>
  <c r="AC65" i="12" s="1"/>
  <c r="AI20" i="12" s="1"/>
  <c r="N105" i="12"/>
  <c r="M145" i="12"/>
  <c r="Q145" i="12" s="1"/>
  <c r="S145" i="12" s="1"/>
  <c r="R28" i="12" s="1"/>
  <c r="M86" i="12" s="1"/>
  <c r="B31" i="12" s="1"/>
  <c r="AG24" i="12" s="1"/>
  <c r="P89" i="11"/>
  <c r="Q89" i="11" s="1"/>
  <c r="AJ27" i="11" s="1"/>
  <c r="X57" i="12"/>
  <c r="N110" i="5"/>
  <c r="M147" i="5" s="1"/>
  <c r="Q147" i="5" s="1"/>
  <c r="S147" i="5" s="1"/>
  <c r="R29" i="5" s="1"/>
  <c r="M87" i="5" s="1"/>
  <c r="B32" i="5" s="1"/>
  <c r="AG25" i="5" s="1"/>
  <c r="M98" i="3"/>
  <c r="M98" i="5"/>
  <c r="M100" i="5"/>
  <c r="M149" i="5" s="1"/>
  <c r="Q149" i="5" s="1"/>
  <c r="S149" i="5" s="1"/>
  <c r="AC65" i="5" s="1"/>
  <c r="AI20" i="5" s="1"/>
  <c r="N110" i="3"/>
  <c r="M147" i="3" s="1"/>
  <c r="Q147" i="3" s="1"/>
  <c r="S147" i="3" s="1"/>
  <c r="R29" i="3" s="1"/>
  <c r="M87" i="3" s="1"/>
  <c r="M145" i="5"/>
  <c r="N109" i="5"/>
  <c r="M146" i="5" s="1"/>
  <c r="N105" i="3"/>
  <c r="M99" i="5"/>
  <c r="N103" i="5" s="1"/>
  <c r="O145" i="7"/>
  <c r="R145" i="7" s="1"/>
  <c r="N109" i="10"/>
  <c r="M146" i="10" s="1"/>
  <c r="N105" i="10"/>
  <c r="M145" i="10"/>
  <c r="Q145" i="10" s="1"/>
  <c r="S145" i="10" s="1"/>
  <c r="R28" i="10" s="1"/>
  <c r="M75" i="10" s="1"/>
  <c r="M122" i="10"/>
  <c r="O145" i="10"/>
  <c r="R145" i="10" s="1"/>
  <c r="M122" i="3"/>
  <c r="M100" i="10"/>
  <c r="M149" i="10" s="1"/>
  <c r="Q149" i="10" s="1"/>
  <c r="S149" i="10" s="1"/>
  <c r="AC65" i="10" s="1"/>
  <c r="AI20" i="10" s="1"/>
  <c r="N123" i="3"/>
  <c r="M99" i="10"/>
  <c r="N103" i="10" s="1"/>
  <c r="M148" i="10" s="1"/>
  <c r="Q148" i="10" s="1"/>
  <c r="S148" i="10" s="1"/>
  <c r="R30" i="10" s="1"/>
  <c r="N123" i="7"/>
  <c r="M124" i="3"/>
  <c r="M122" i="7"/>
  <c r="M123" i="7" s="1"/>
  <c r="M124" i="10"/>
  <c r="O149" i="10" s="1"/>
  <c r="R149" i="10" s="1"/>
  <c r="M99" i="3"/>
  <c r="N103" i="3" s="1"/>
  <c r="N104" i="3" s="1"/>
  <c r="M100" i="3"/>
  <c r="M149" i="3" s="1"/>
  <c r="Q149" i="3" s="1"/>
  <c r="S149" i="3" s="1"/>
  <c r="AC65" i="3" s="1"/>
  <c r="AI20" i="3" s="1"/>
  <c r="X57" i="3"/>
  <c r="Y57" i="3"/>
  <c r="Y59" i="3" s="1"/>
  <c r="AB51" i="12"/>
  <c r="Y103" i="12" s="1"/>
  <c r="Y106" i="12" s="1"/>
  <c r="N70" i="6"/>
  <c r="N69" i="6"/>
  <c r="P124" i="8"/>
  <c r="P122" i="8"/>
  <c r="P145" i="8"/>
  <c r="AB51" i="11"/>
  <c r="Y103" i="11" s="1"/>
  <c r="Y106" i="11" s="1"/>
  <c r="O104" i="7"/>
  <c r="N148" i="7"/>
  <c r="AR9" i="11"/>
  <c r="AR10" i="11" s="1"/>
  <c r="AR11" i="11" s="1"/>
  <c r="AR18" i="11" s="1"/>
  <c r="AR27" i="11"/>
  <c r="AR28" i="11" s="1"/>
  <c r="N70" i="7"/>
  <c r="N69" i="7"/>
  <c r="P123" i="3"/>
  <c r="P149" i="3"/>
  <c r="M123" i="9"/>
  <c r="O149" i="9"/>
  <c r="R149" i="9" s="1"/>
  <c r="N110" i="8"/>
  <c r="M147" i="8" s="1"/>
  <c r="Q147" i="8" s="1"/>
  <c r="S147" i="8" s="1"/>
  <c r="R29" i="8" s="1"/>
  <c r="M87" i="8" s="1"/>
  <c r="N109" i="8"/>
  <c r="M146" i="8" s="1"/>
  <c r="M145" i="8"/>
  <c r="Q145" i="8" s="1"/>
  <c r="S145" i="8" s="1"/>
  <c r="R28" i="8" s="1"/>
  <c r="M99" i="8"/>
  <c r="N103" i="8" s="1"/>
  <c r="N105" i="8"/>
  <c r="M100" i="8"/>
  <c r="M149" i="8" s="1"/>
  <c r="Q149" i="8" s="1"/>
  <c r="S149" i="8" s="1"/>
  <c r="AC65" i="8" s="1"/>
  <c r="M98" i="8"/>
  <c r="X57" i="11"/>
  <c r="M123" i="11"/>
  <c r="O149" i="11"/>
  <c r="R149" i="11" s="1"/>
  <c r="AB51" i="3"/>
  <c r="Y103" i="3" s="1"/>
  <c r="Y106" i="3" s="1"/>
  <c r="N148" i="11"/>
  <c r="O104" i="11"/>
  <c r="N145" i="8"/>
  <c r="P99" i="8"/>
  <c r="O103" i="8" s="1"/>
  <c r="O110" i="8"/>
  <c r="N147" i="8" s="1"/>
  <c r="O109" i="8"/>
  <c r="N146" i="8" s="1"/>
  <c r="O105" i="8"/>
  <c r="P100" i="8"/>
  <c r="N149" i="8" s="1"/>
  <c r="P98" i="8"/>
  <c r="P34" i="3"/>
  <c r="Q34" i="3" s="1"/>
  <c r="U32" i="3"/>
  <c r="P35" i="3" s="1"/>
  <c r="P123" i="4"/>
  <c r="P149" i="4"/>
  <c r="Y59" i="11"/>
  <c r="Y60" i="11"/>
  <c r="B24" i="11" s="1"/>
  <c r="AG16" i="11" s="1"/>
  <c r="AG20" i="11" s="1"/>
  <c r="M99" i="6"/>
  <c r="N103" i="6" s="1"/>
  <c r="N105" i="6"/>
  <c r="M145" i="6"/>
  <c r="Q145" i="6" s="1"/>
  <c r="S145" i="6" s="1"/>
  <c r="R28" i="6" s="1"/>
  <c r="M100" i="6"/>
  <c r="M149" i="6" s="1"/>
  <c r="Q149" i="6" s="1"/>
  <c r="S149" i="6" s="1"/>
  <c r="AC65" i="6" s="1"/>
  <c r="N109" i="6"/>
  <c r="M146" i="6" s="1"/>
  <c r="N110" i="6"/>
  <c r="M147" i="6" s="1"/>
  <c r="Q147" i="6" s="1"/>
  <c r="S147" i="6" s="1"/>
  <c r="R29" i="6" s="1"/>
  <c r="M87" i="6" s="1"/>
  <c r="B32" i="6" s="1"/>
  <c r="AG25" i="6" s="1"/>
  <c r="M98" i="6"/>
  <c r="P123" i="11"/>
  <c r="P149" i="11"/>
  <c r="U32" i="5"/>
  <c r="P35" i="5" s="1"/>
  <c r="Q34" i="5"/>
  <c r="O104" i="9"/>
  <c r="N148" i="9"/>
  <c r="O145" i="8"/>
  <c r="R145" i="8" s="1"/>
  <c r="M124" i="8"/>
  <c r="M122" i="8"/>
  <c r="N123" i="8"/>
  <c r="N110" i="4"/>
  <c r="M147" i="4" s="1"/>
  <c r="Q147" i="4" s="1"/>
  <c r="S147" i="4" s="1"/>
  <c r="R29" i="4" s="1"/>
  <c r="M87" i="4" s="1"/>
  <c r="B32" i="4" s="1"/>
  <c r="AG25" i="4" s="1"/>
  <c r="M100" i="4"/>
  <c r="M149" i="4" s="1"/>
  <c r="Q149" i="4" s="1"/>
  <c r="S149" i="4" s="1"/>
  <c r="AC65" i="4" s="1"/>
  <c r="N109" i="4"/>
  <c r="M146" i="4" s="1"/>
  <c r="M99" i="4"/>
  <c r="N103" i="4" s="1"/>
  <c r="M98" i="4"/>
  <c r="N105" i="4"/>
  <c r="M145" i="4"/>
  <c r="O87" i="9"/>
  <c r="O86" i="9"/>
  <c r="O104" i="4"/>
  <c r="N148" i="4" s="1"/>
  <c r="P123" i="7"/>
  <c r="P149" i="7"/>
  <c r="AR29" i="4"/>
  <c r="AR41" i="4"/>
  <c r="R87" i="9"/>
  <c r="AK25" i="9" s="1"/>
  <c r="R86" i="9"/>
  <c r="AK24" i="9" s="1"/>
  <c r="N123" i="6"/>
  <c r="M122" i="6"/>
  <c r="M124" i="6"/>
  <c r="O145" i="6"/>
  <c r="R145" i="6" s="1"/>
  <c r="N104" i="7"/>
  <c r="M148" i="7"/>
  <c r="Q148" i="7" s="1"/>
  <c r="S148" i="7" s="1"/>
  <c r="R30" i="7" s="1"/>
  <c r="P149" i="12"/>
  <c r="P123" i="12"/>
  <c r="Y56" i="5"/>
  <c r="Y55" i="5"/>
  <c r="Y57" i="5" s="1"/>
  <c r="AB49" i="5"/>
  <c r="R87" i="12"/>
  <c r="AK25" i="12" s="1"/>
  <c r="R86" i="12"/>
  <c r="AK24" i="12" s="1"/>
  <c r="M122" i="4"/>
  <c r="O145" i="4"/>
  <c r="M124" i="4"/>
  <c r="N123" i="4"/>
  <c r="O104" i="3"/>
  <c r="N148" i="3" s="1"/>
  <c r="O86" i="12"/>
  <c r="O87" i="12"/>
  <c r="U32" i="6"/>
  <c r="P35" i="6" s="1"/>
  <c r="P34" i="6"/>
  <c r="Q34" i="6" s="1"/>
  <c r="AR9" i="3"/>
  <c r="AR10" i="3" s="1"/>
  <c r="AR11" i="3" s="1"/>
  <c r="AR18" i="3" s="1"/>
  <c r="AR27" i="3"/>
  <c r="AR28" i="3" s="1"/>
  <c r="B34" i="7"/>
  <c r="AG27" i="7" s="1"/>
  <c r="P89" i="7"/>
  <c r="Q89" i="7" s="1"/>
  <c r="AJ27" i="7" s="1"/>
  <c r="S68" i="9"/>
  <c r="S70" i="9" s="1"/>
  <c r="M86" i="9"/>
  <c r="B31" i="9" s="1"/>
  <c r="AG24" i="9" s="1"/>
  <c r="M75" i="9"/>
  <c r="P122" i="6"/>
  <c r="P145" i="6"/>
  <c r="P124" i="6"/>
  <c r="AR9" i="12"/>
  <c r="AR10" i="12" s="1"/>
  <c r="AR11" i="12" s="1"/>
  <c r="AR18" i="12" s="1"/>
  <c r="AR27" i="12"/>
  <c r="AR28" i="12" s="1"/>
  <c r="AG18" i="8"/>
  <c r="AB106" i="8"/>
  <c r="AJ18" i="8" s="1"/>
  <c r="Y107" i="8"/>
  <c r="C27" i="8" s="1"/>
  <c r="O149" i="12"/>
  <c r="R149" i="12" s="1"/>
  <c r="M123" i="12"/>
  <c r="AC91" i="9"/>
  <c r="AK17" i="9" s="1"/>
  <c r="AJ17" i="9"/>
  <c r="B28" i="9" s="1"/>
  <c r="O149" i="5"/>
  <c r="M123" i="5"/>
  <c r="U32" i="7"/>
  <c r="P35" i="7" s="1"/>
  <c r="P34" i="7"/>
  <c r="Q34" i="7" s="1"/>
  <c r="AR27" i="5"/>
  <c r="AR28" i="5" s="1"/>
  <c r="AR9" i="5"/>
  <c r="AR10" i="5" s="1"/>
  <c r="AR11" i="5" s="1"/>
  <c r="AR18" i="5" s="1"/>
  <c r="N148" i="12"/>
  <c r="O104" i="12"/>
  <c r="U32" i="4"/>
  <c r="P35" i="4" s="1"/>
  <c r="P34" i="4"/>
  <c r="Q34" i="4" s="1"/>
  <c r="O105" i="6"/>
  <c r="N145" i="6"/>
  <c r="O110" i="6"/>
  <c r="N147" i="6" s="1"/>
  <c r="P100" i="6"/>
  <c r="N149" i="6" s="1"/>
  <c r="O109" i="6"/>
  <c r="N146" i="6" s="1"/>
  <c r="P99" i="6"/>
  <c r="O103" i="6" s="1"/>
  <c r="P98" i="6"/>
  <c r="B23" i="8"/>
  <c r="AG15" i="8" s="1"/>
  <c r="Y65" i="8"/>
  <c r="Y66" i="8" s="1"/>
  <c r="Y71" i="8" s="1"/>
  <c r="U32" i="11"/>
  <c r="P35" i="11" s="1"/>
  <c r="P34" i="11"/>
  <c r="Q34" i="11" s="1"/>
  <c r="AB106" i="4"/>
  <c r="AJ18" i="4" s="1"/>
  <c r="AG18" i="4"/>
  <c r="Y107" i="4"/>
  <c r="C27" i="4" s="1"/>
  <c r="Y60" i="12"/>
  <c r="B24" i="12" s="1"/>
  <c r="AG16" i="12" s="1"/>
  <c r="AG20" i="12" s="1"/>
  <c r="Y59" i="12"/>
  <c r="X57" i="10"/>
  <c r="AR9" i="8"/>
  <c r="AR10" i="8" s="1"/>
  <c r="AR11" i="8" s="1"/>
  <c r="AR18" i="8" s="1"/>
  <c r="AR27" i="8"/>
  <c r="AR28" i="8" s="1"/>
  <c r="P149" i="5"/>
  <c r="P123" i="5"/>
  <c r="N148" i="10"/>
  <c r="O104" i="10"/>
  <c r="U32" i="10"/>
  <c r="P35" i="10" s="1"/>
  <c r="P34" i="10"/>
  <c r="Q34" i="10" s="1"/>
  <c r="AB51" i="10"/>
  <c r="Y103" i="10" s="1"/>
  <c r="Y106" i="10" s="1"/>
  <c r="Y59" i="6"/>
  <c r="Y60" i="6"/>
  <c r="B24" i="6" s="1"/>
  <c r="AG16" i="6" s="1"/>
  <c r="AG20" i="6" s="1"/>
  <c r="Y59" i="7"/>
  <c r="Y60" i="7"/>
  <c r="B24" i="7" s="1"/>
  <c r="AG16" i="7" s="1"/>
  <c r="AG20" i="7" s="1"/>
  <c r="O104" i="5"/>
  <c r="N148" i="5" s="1"/>
  <c r="AJ17" i="8"/>
  <c r="B28" i="8" s="1"/>
  <c r="AC91" i="8"/>
  <c r="AK17" i="8" s="1"/>
  <c r="AR27" i="10"/>
  <c r="AR28" i="10" s="1"/>
  <c r="AR9" i="10"/>
  <c r="AR10" i="10" s="1"/>
  <c r="AR11" i="10" s="1"/>
  <c r="AR18" i="10" s="1"/>
  <c r="Y55" i="9"/>
  <c r="Y57" i="9" s="1"/>
  <c r="Y56" i="9"/>
  <c r="AB49" i="9"/>
  <c r="X57" i="6"/>
  <c r="P149" i="10"/>
  <c r="P123" i="10"/>
  <c r="X57" i="7"/>
  <c r="AB86" i="8"/>
  <c r="AJ15" i="8" s="1"/>
  <c r="AJ17" i="12"/>
  <c r="B28" i="12" s="1"/>
  <c r="AC91" i="12"/>
  <c r="AK17" i="12" s="1"/>
  <c r="Y59" i="10"/>
  <c r="Y60" i="10"/>
  <c r="B24" i="10" s="1"/>
  <c r="AG16" i="10" s="1"/>
  <c r="AG20" i="10" s="1"/>
  <c r="AR9" i="6"/>
  <c r="AR10" i="6" s="1"/>
  <c r="AR11" i="6" s="1"/>
  <c r="AR18" i="6" s="1"/>
  <c r="AR27" i="6"/>
  <c r="AR28" i="6" s="1"/>
  <c r="U33" i="10"/>
  <c r="O149" i="7"/>
  <c r="R149" i="7" s="1"/>
  <c r="AR9" i="7"/>
  <c r="AR10" i="7" s="1"/>
  <c r="AR11" i="7" s="1"/>
  <c r="AR18" i="7" s="1"/>
  <c r="AR27" i="7"/>
  <c r="AR28" i="7" s="1"/>
  <c r="P149" i="9"/>
  <c r="P123" i="9"/>
  <c r="AB51" i="6"/>
  <c r="Y103" i="6" s="1"/>
  <c r="Y106" i="6" s="1"/>
  <c r="AB51" i="7"/>
  <c r="Y103" i="7" s="1"/>
  <c r="Y106" i="7" s="1"/>
  <c r="B34" i="6"/>
  <c r="AG27" i="6" s="1"/>
  <c r="P89" i="6"/>
  <c r="Q89" i="6" s="1"/>
  <c r="AJ27" i="6" s="1"/>
  <c r="AR27" i="9"/>
  <c r="AR28" i="9" s="1"/>
  <c r="AR9" i="9"/>
  <c r="AR10" i="9" s="1"/>
  <c r="AR11" i="9" s="1"/>
  <c r="AR18" i="9" s="1"/>
  <c r="R149" i="5" l="1"/>
  <c r="B32" i="3"/>
  <c r="AG25" i="3" s="1"/>
  <c r="Y60" i="4"/>
  <c r="B24" i="4" s="1"/>
  <c r="AG16" i="4" s="1"/>
  <c r="AG20" i="4" s="1"/>
  <c r="AB86" i="4"/>
  <c r="AJ15" i="4" s="1"/>
  <c r="Q145" i="5"/>
  <c r="S145" i="5" s="1"/>
  <c r="R28" i="5" s="1"/>
  <c r="S68" i="5" s="1"/>
  <c r="S70" i="5" s="1"/>
  <c r="S71" i="5" s="1"/>
  <c r="M86" i="5" s="1"/>
  <c r="B31" i="5" s="1"/>
  <c r="AG24" i="5" s="1"/>
  <c r="P89" i="4"/>
  <c r="Q89" i="4" s="1"/>
  <c r="AJ27" i="4" s="1"/>
  <c r="M148" i="3"/>
  <c r="Q148" i="3" s="1"/>
  <c r="S148" i="3" s="1"/>
  <c r="R30" i="3" s="1"/>
  <c r="N104" i="11"/>
  <c r="M75" i="11"/>
  <c r="M86" i="11"/>
  <c r="B31" i="11" s="1"/>
  <c r="AG24" i="11" s="1"/>
  <c r="N104" i="9"/>
  <c r="M75" i="12"/>
  <c r="S68" i="7"/>
  <c r="S70" i="7" s="1"/>
  <c r="M75" i="7"/>
  <c r="AC66" i="12"/>
  <c r="AC67" i="12" s="1"/>
  <c r="AK20" i="12" s="1"/>
  <c r="S68" i="12"/>
  <c r="S70" i="12" s="1"/>
  <c r="M86" i="10"/>
  <c r="B31" i="10" s="1"/>
  <c r="AG24" i="10" s="1"/>
  <c r="S68" i="10"/>
  <c r="S70" i="10" s="1"/>
  <c r="N104" i="12"/>
  <c r="N104" i="5"/>
  <c r="M148" i="5" s="1"/>
  <c r="Q148" i="5" s="1"/>
  <c r="S148" i="5" s="1"/>
  <c r="R30" i="5" s="1"/>
  <c r="X57" i="9"/>
  <c r="M123" i="10"/>
  <c r="M136" i="10" s="1"/>
  <c r="AC66" i="11"/>
  <c r="AC67" i="11" s="1"/>
  <c r="AK20" i="11" s="1"/>
  <c r="X57" i="5"/>
  <c r="N104" i="10"/>
  <c r="M123" i="3"/>
  <c r="N127" i="3" s="1"/>
  <c r="O149" i="3"/>
  <c r="R149" i="3" s="1"/>
  <c r="Y60" i="3"/>
  <c r="B24" i="3" s="1"/>
  <c r="AG16" i="3" s="1"/>
  <c r="AG20" i="3" s="1"/>
  <c r="S68" i="3"/>
  <c r="S70" i="3" s="1"/>
  <c r="S71" i="3" s="1"/>
  <c r="M75" i="3" s="1"/>
  <c r="Q145" i="4"/>
  <c r="S145" i="4" s="1"/>
  <c r="R28" i="4" s="1"/>
  <c r="AG18" i="11"/>
  <c r="AB106" i="11"/>
  <c r="AJ18" i="11" s="1"/>
  <c r="Y107" i="11"/>
  <c r="C27" i="11" s="1"/>
  <c r="AG18" i="7"/>
  <c r="AB106" i="7"/>
  <c r="AJ18" i="7" s="1"/>
  <c r="Y107" i="7"/>
  <c r="C27" i="7" s="1"/>
  <c r="AG18" i="10"/>
  <c r="AB106" i="10"/>
  <c r="AJ18" i="10" s="1"/>
  <c r="Y107" i="10"/>
  <c r="C27" i="10" s="1"/>
  <c r="AB106" i="3"/>
  <c r="AJ18" i="3" s="1"/>
  <c r="AG18" i="3"/>
  <c r="Y107" i="3"/>
  <c r="C27" i="3" s="1"/>
  <c r="AB106" i="6"/>
  <c r="AJ18" i="6" s="1"/>
  <c r="AG18" i="6"/>
  <c r="Y107" i="6"/>
  <c r="C27" i="6" s="1"/>
  <c r="AB106" i="12"/>
  <c r="AJ18" i="12" s="1"/>
  <c r="AG18" i="12"/>
  <c r="Y107" i="12"/>
  <c r="C27" i="12" s="1"/>
  <c r="AR29" i="6"/>
  <c r="AR41" i="6"/>
  <c r="M123" i="8"/>
  <c r="O149" i="8"/>
  <c r="R149" i="8" s="1"/>
  <c r="B23" i="3"/>
  <c r="AG15" i="3" s="1"/>
  <c r="AB86" i="3"/>
  <c r="AJ15" i="3" s="1"/>
  <c r="AC66" i="6"/>
  <c r="AI20" i="6"/>
  <c r="B32" i="8"/>
  <c r="AG25" i="8" s="1"/>
  <c r="P87" i="8"/>
  <c r="Q87" i="8" s="1"/>
  <c r="AJ25" i="8" s="1"/>
  <c r="Y60" i="9"/>
  <c r="Y59" i="9"/>
  <c r="S68" i="6"/>
  <c r="S70" i="6" s="1"/>
  <c r="M86" i="6"/>
  <c r="B31" i="6" s="1"/>
  <c r="AG24" i="6" s="1"/>
  <c r="M75" i="6"/>
  <c r="R86" i="7"/>
  <c r="AK24" i="7" s="1"/>
  <c r="R87" i="7"/>
  <c r="AK25" i="7" s="1"/>
  <c r="Z74" i="8"/>
  <c r="AB71" i="8"/>
  <c r="B41" i="8" s="1"/>
  <c r="AB75" i="8"/>
  <c r="D43" i="8" s="1"/>
  <c r="AB74" i="8"/>
  <c r="D42" i="8" s="1"/>
  <c r="Y79" i="8"/>
  <c r="Z76" i="8"/>
  <c r="C44" i="8" s="1"/>
  <c r="Z75" i="8"/>
  <c r="C43" i="8" s="1"/>
  <c r="AB76" i="8"/>
  <c r="D44" i="8" s="1"/>
  <c r="K14" i="2"/>
  <c r="AR29" i="8"/>
  <c r="AR41" i="8"/>
  <c r="O104" i="6"/>
  <c r="N148" i="6"/>
  <c r="N127" i="9"/>
  <c r="M136" i="9"/>
  <c r="P123" i="8"/>
  <c r="P149" i="8"/>
  <c r="M123" i="4"/>
  <c r="O149" i="4"/>
  <c r="R149" i="4" s="1"/>
  <c r="D31" i="9"/>
  <c r="AI24" i="9" s="1"/>
  <c r="P86" i="9"/>
  <c r="Q86" i="9" s="1"/>
  <c r="AJ24" i="9" s="1"/>
  <c r="N104" i="6"/>
  <c r="M148" i="6"/>
  <c r="Q148" i="6" s="1"/>
  <c r="S148" i="6" s="1"/>
  <c r="R30" i="6" s="1"/>
  <c r="AR29" i="5"/>
  <c r="AR41" i="5"/>
  <c r="P87" i="9"/>
  <c r="Q87" i="9" s="1"/>
  <c r="AJ25" i="9" s="1"/>
  <c r="D32" i="9"/>
  <c r="AI25" i="9" s="1"/>
  <c r="Y65" i="7"/>
  <c r="Y66" i="7" s="1"/>
  <c r="Y71" i="7" s="1"/>
  <c r="B23" i="7"/>
  <c r="AG15" i="7" s="1"/>
  <c r="AB86" i="7"/>
  <c r="AJ15" i="7" s="1"/>
  <c r="O86" i="11"/>
  <c r="O87" i="11"/>
  <c r="M137" i="5"/>
  <c r="O137" i="5" s="1"/>
  <c r="O127" i="5"/>
  <c r="N127" i="12"/>
  <c r="M136" i="12"/>
  <c r="AR29" i="3"/>
  <c r="AR41" i="3"/>
  <c r="B23" i="11"/>
  <c r="AG15" i="11" s="1"/>
  <c r="Y65" i="11"/>
  <c r="Y66" i="11" s="1"/>
  <c r="Y71" i="11" s="1"/>
  <c r="AB86" i="11"/>
  <c r="AJ15" i="11" s="1"/>
  <c r="O104" i="8"/>
  <c r="N148" i="8"/>
  <c r="N127" i="5"/>
  <c r="M136" i="5"/>
  <c r="AC66" i="10"/>
  <c r="M137" i="9"/>
  <c r="O137" i="9" s="1"/>
  <c r="O127" i="9"/>
  <c r="R87" i="10"/>
  <c r="AK25" i="10" s="1"/>
  <c r="R86" i="10"/>
  <c r="AK24" i="10" s="1"/>
  <c r="O149" i="6"/>
  <c r="R149" i="6" s="1"/>
  <c r="M123" i="6"/>
  <c r="M136" i="11"/>
  <c r="N127" i="11"/>
  <c r="S68" i="8"/>
  <c r="S70" i="8" s="1"/>
  <c r="M86" i="8"/>
  <c r="M75" i="8"/>
  <c r="O87" i="10"/>
  <c r="O86" i="10"/>
  <c r="R86" i="6"/>
  <c r="AK24" i="6" s="1"/>
  <c r="R87" i="6"/>
  <c r="AK25" i="6" s="1"/>
  <c r="AC66" i="7"/>
  <c r="O127" i="4"/>
  <c r="M137" i="4"/>
  <c r="O137" i="4" s="1"/>
  <c r="M76" i="9"/>
  <c r="M77" i="9" s="1"/>
  <c r="M88" i="9"/>
  <c r="B33" i="9" s="1"/>
  <c r="AG26" i="9" s="1"/>
  <c r="O127" i="3"/>
  <c r="M137" i="3"/>
  <c r="O137" i="3" s="1"/>
  <c r="R87" i="11"/>
  <c r="AK25" i="11" s="1"/>
  <c r="R86" i="11"/>
  <c r="AK24" i="11" s="1"/>
  <c r="M137" i="7"/>
  <c r="O137" i="7" s="1"/>
  <c r="O127" i="7"/>
  <c r="O87" i="7"/>
  <c r="O86" i="7"/>
  <c r="B23" i="10"/>
  <c r="AG15" i="10" s="1"/>
  <c r="Y65" i="10"/>
  <c r="Y66" i="10" s="1"/>
  <c r="Y71" i="10" s="1"/>
  <c r="AB86" i="10"/>
  <c r="AJ15" i="10" s="1"/>
  <c r="AR41" i="7"/>
  <c r="AR29" i="7"/>
  <c r="M76" i="11"/>
  <c r="M88" i="11"/>
  <c r="B33" i="11" s="1"/>
  <c r="AG26" i="11" s="1"/>
  <c r="Y65" i="12"/>
  <c r="Y66" i="12" s="1"/>
  <c r="Y71" i="12" s="1"/>
  <c r="B23" i="12"/>
  <c r="AG15" i="12" s="1"/>
  <c r="AB86" i="12"/>
  <c r="AJ15" i="12" s="1"/>
  <c r="R87" i="4"/>
  <c r="AK25" i="4" s="1"/>
  <c r="R86" i="4"/>
  <c r="AK24" i="4" s="1"/>
  <c r="O87" i="6"/>
  <c r="O86" i="6"/>
  <c r="AB51" i="5"/>
  <c r="Y103" i="5" s="1"/>
  <c r="Y106" i="5" s="1"/>
  <c r="N104" i="4"/>
  <c r="M148" i="4" s="1"/>
  <c r="Q148" i="4" s="1"/>
  <c r="S148" i="4" s="1"/>
  <c r="R30" i="4" s="1"/>
  <c r="O87" i="3"/>
  <c r="O86" i="3"/>
  <c r="N104" i="8"/>
  <c r="M148" i="8"/>
  <c r="Q148" i="8" s="1"/>
  <c r="S148" i="8" s="1"/>
  <c r="R30" i="8" s="1"/>
  <c r="M76" i="10"/>
  <c r="M77" i="10" s="1"/>
  <c r="M88" i="10"/>
  <c r="B33" i="10" s="1"/>
  <c r="AG26" i="10" s="1"/>
  <c r="M137" i="10"/>
  <c r="O137" i="10" s="1"/>
  <c r="O127" i="10"/>
  <c r="O87" i="4"/>
  <c r="O86" i="4"/>
  <c r="AR41" i="12"/>
  <c r="AR29" i="12"/>
  <c r="P87" i="12"/>
  <c r="Q87" i="12" s="1"/>
  <c r="AJ25" i="12" s="1"/>
  <c r="D32" i="12"/>
  <c r="AI25" i="12" s="1"/>
  <c r="Y60" i="5"/>
  <c r="Y59" i="5"/>
  <c r="R86" i="5"/>
  <c r="AK24" i="5" s="1"/>
  <c r="R87" i="5"/>
  <c r="AK25" i="5" s="1"/>
  <c r="R87" i="3"/>
  <c r="AK25" i="3" s="1"/>
  <c r="R86" i="3"/>
  <c r="AK24" i="3" s="1"/>
  <c r="M88" i="7"/>
  <c r="B33" i="7" s="1"/>
  <c r="AG26" i="7" s="1"/>
  <c r="M76" i="7"/>
  <c r="AR29" i="10"/>
  <c r="AR41" i="10"/>
  <c r="N127" i="7"/>
  <c r="M136" i="7"/>
  <c r="D31" i="12"/>
  <c r="AI24" i="12" s="1"/>
  <c r="P86" i="12"/>
  <c r="Q86" i="12" s="1"/>
  <c r="AJ24" i="12" s="1"/>
  <c r="AI20" i="4"/>
  <c r="O87" i="5"/>
  <c r="O86" i="5"/>
  <c r="AR41" i="11"/>
  <c r="AR29" i="11"/>
  <c r="M88" i="12"/>
  <c r="B33" i="12" s="1"/>
  <c r="AG26" i="12" s="1"/>
  <c r="M76" i="12"/>
  <c r="P149" i="6"/>
  <c r="P123" i="6"/>
  <c r="M137" i="12"/>
  <c r="O137" i="12" s="1"/>
  <c r="O127" i="12"/>
  <c r="AC66" i="8"/>
  <c r="AI20" i="8"/>
  <c r="B23" i="6"/>
  <c r="AG15" i="6" s="1"/>
  <c r="Y65" i="6"/>
  <c r="Y66" i="6" s="1"/>
  <c r="Y71" i="6" s="1"/>
  <c r="AB86" i="6"/>
  <c r="AJ15" i="6" s="1"/>
  <c r="AR29" i="9"/>
  <c r="AR41" i="9"/>
  <c r="AB51" i="9"/>
  <c r="Y103" i="9" s="1"/>
  <c r="Y106" i="9" s="1"/>
  <c r="AR30" i="4"/>
  <c r="AR32" i="4" s="1"/>
  <c r="AS32" i="4" s="1"/>
  <c r="AR39" i="4"/>
  <c r="AR40" i="4" s="1"/>
  <c r="M137" i="11"/>
  <c r="O137" i="11" s="1"/>
  <c r="O127" i="11"/>
  <c r="AC66" i="4" l="1"/>
  <c r="AC67" i="4" s="1"/>
  <c r="AK20" i="4" s="1"/>
  <c r="Y65" i="4"/>
  <c r="Y66" i="4" s="1"/>
  <c r="Y71" i="4" s="1"/>
  <c r="Y79" i="4" s="1"/>
  <c r="D24" i="4" s="1"/>
  <c r="AI16" i="4" s="1"/>
  <c r="M76" i="5"/>
  <c r="M88" i="5"/>
  <c r="B33" i="5" s="1"/>
  <c r="AG26" i="5" s="1"/>
  <c r="M75" i="5"/>
  <c r="M86" i="3"/>
  <c r="B31" i="3" s="1"/>
  <c r="AG24" i="3" s="1"/>
  <c r="M77" i="12"/>
  <c r="M81" i="12" s="1"/>
  <c r="O88" i="12" s="1"/>
  <c r="M77" i="11"/>
  <c r="M79" i="11" s="1"/>
  <c r="AJ20" i="12"/>
  <c r="M77" i="7"/>
  <c r="M79" i="7" s="1"/>
  <c r="AJ20" i="11"/>
  <c r="N127" i="10"/>
  <c r="N136" i="10" s="1"/>
  <c r="M136" i="3"/>
  <c r="N136" i="3" s="1"/>
  <c r="Y65" i="3"/>
  <c r="Y66" i="3" s="1"/>
  <c r="Y71" i="3" s="1"/>
  <c r="AB74" i="3" s="1"/>
  <c r="D42" i="3" s="1"/>
  <c r="AC66" i="3"/>
  <c r="AC67" i="3" s="1"/>
  <c r="AK20" i="3" s="1"/>
  <c r="S68" i="4"/>
  <c r="S70" i="4" s="1"/>
  <c r="S71" i="4" s="1"/>
  <c r="M86" i="4" s="1"/>
  <c r="AB106" i="9"/>
  <c r="AJ18" i="9" s="1"/>
  <c r="AG18" i="9"/>
  <c r="Y107" i="9"/>
  <c r="C27" i="9" s="1"/>
  <c r="M81" i="10"/>
  <c r="O88" i="10" s="1"/>
  <c r="M79" i="10"/>
  <c r="AB106" i="5"/>
  <c r="AJ18" i="5" s="1"/>
  <c r="AG18" i="5"/>
  <c r="Y107" i="5"/>
  <c r="C27" i="5" s="1"/>
  <c r="M81" i="9"/>
  <c r="O88" i="9" s="1"/>
  <c r="M79" i="9"/>
  <c r="P147" i="12"/>
  <c r="P146" i="12"/>
  <c r="C42" i="8"/>
  <c r="L14" i="2"/>
  <c r="O148" i="7"/>
  <c r="R148" i="7" s="1"/>
  <c r="N136" i="7"/>
  <c r="N128" i="7"/>
  <c r="N129" i="7" s="1"/>
  <c r="N130" i="7" s="1"/>
  <c r="N131" i="7" s="1"/>
  <c r="P87" i="7"/>
  <c r="Q87" i="7" s="1"/>
  <c r="AJ25" i="7" s="1"/>
  <c r="D32" i="7"/>
  <c r="AI25" i="7" s="1"/>
  <c r="N128" i="3"/>
  <c r="N129" i="3" s="1"/>
  <c r="N130" i="3" s="1"/>
  <c r="N131" i="3" s="1"/>
  <c r="AJ20" i="8"/>
  <c r="AC67" i="8"/>
  <c r="AK20" i="8" s="1"/>
  <c r="P148" i="10"/>
  <c r="O128" i="10"/>
  <c r="O129" i="10" s="1"/>
  <c r="O130" i="10" s="1"/>
  <c r="O131" i="10" s="1"/>
  <c r="AR39" i="10"/>
  <c r="AR40" i="10" s="1"/>
  <c r="AR30" i="10"/>
  <c r="P147" i="10"/>
  <c r="P146" i="10"/>
  <c r="P146" i="7"/>
  <c r="P147" i="7"/>
  <c r="AJ20" i="10"/>
  <c r="AC67" i="10"/>
  <c r="AK20" i="10" s="1"/>
  <c r="P147" i="11"/>
  <c r="P146" i="11"/>
  <c r="P87" i="4"/>
  <c r="Q87" i="4" s="1"/>
  <c r="AJ25" i="4" s="1"/>
  <c r="D32" i="4"/>
  <c r="AI25" i="4" s="1"/>
  <c r="O128" i="9"/>
  <c r="O129" i="9" s="1"/>
  <c r="O130" i="9" s="1"/>
  <c r="O131" i="9" s="1"/>
  <c r="P148" i="9"/>
  <c r="P148" i="7"/>
  <c r="O128" i="7"/>
  <c r="O129" i="7" s="1"/>
  <c r="O130" i="7" s="1"/>
  <c r="O131" i="7" s="1"/>
  <c r="O148" i="12"/>
  <c r="R148" i="12" s="1"/>
  <c r="N136" i="12"/>
  <c r="N128" i="12"/>
  <c r="N129" i="12" s="1"/>
  <c r="N130" i="12" s="1"/>
  <c r="N131" i="12" s="1"/>
  <c r="M88" i="6"/>
  <c r="B33" i="6" s="1"/>
  <c r="AG26" i="6" s="1"/>
  <c r="M76" i="6"/>
  <c r="M77" i="6" s="1"/>
  <c r="AR30" i="8"/>
  <c r="AR39" i="8"/>
  <c r="AR40" i="8" s="1"/>
  <c r="D31" i="7"/>
  <c r="AI24" i="7" s="1"/>
  <c r="P86" i="7"/>
  <c r="Q86" i="7" s="1"/>
  <c r="AJ24" i="7" s="1"/>
  <c r="AR39" i="5"/>
  <c r="AR40" i="5" s="1"/>
  <c r="AR30" i="5"/>
  <c r="AR32" i="5" s="1"/>
  <c r="AS32" i="5" s="1"/>
  <c r="M137" i="6"/>
  <c r="O137" i="6" s="1"/>
  <c r="O127" i="6"/>
  <c r="AB75" i="12"/>
  <c r="D43" i="12" s="1"/>
  <c r="AB71" i="12"/>
  <c r="B41" i="12" s="1"/>
  <c r="Z75" i="12"/>
  <c r="C43" i="12" s="1"/>
  <c r="AB74" i="12"/>
  <c r="D42" i="12" s="1"/>
  <c r="Z74" i="12"/>
  <c r="Y79" i="12"/>
  <c r="Z76" i="12"/>
  <c r="C44" i="12" s="1"/>
  <c r="AB76" i="12"/>
  <c r="D44" i="12" s="1"/>
  <c r="K18" i="2"/>
  <c r="P86" i="10"/>
  <c r="Q86" i="10" s="1"/>
  <c r="AJ24" i="10" s="1"/>
  <c r="D31" i="10"/>
  <c r="AI24" i="10" s="1"/>
  <c r="N128" i="5"/>
  <c r="N129" i="5" s="1"/>
  <c r="N130" i="5" s="1"/>
  <c r="N131" i="5" s="1"/>
  <c r="N136" i="5"/>
  <c r="O128" i="5"/>
  <c r="O129" i="5" s="1"/>
  <c r="O130" i="5" s="1"/>
  <c r="O131" i="5" s="1"/>
  <c r="M88" i="3"/>
  <c r="B33" i="3" s="1"/>
  <c r="AG26" i="3" s="1"/>
  <c r="M76" i="3"/>
  <c r="M77" i="3" s="1"/>
  <c r="AB76" i="10"/>
  <c r="D44" i="10" s="1"/>
  <c r="AB75" i="10"/>
  <c r="D43" i="10" s="1"/>
  <c r="Y79" i="10"/>
  <c r="Z75" i="10"/>
  <c r="C43" i="10" s="1"/>
  <c r="AB71" i="10"/>
  <c r="B41" i="10" s="1"/>
  <c r="Z76" i="10"/>
  <c r="C44" i="10" s="1"/>
  <c r="AB74" i="10"/>
  <c r="D42" i="10" s="1"/>
  <c r="Z74" i="10"/>
  <c r="K16" i="2"/>
  <c r="AC67" i="7"/>
  <c r="AK20" i="7" s="1"/>
  <c r="AJ20" i="7"/>
  <c r="AR39" i="3"/>
  <c r="AR40" i="3" s="1"/>
  <c r="AR30" i="3"/>
  <c r="AR32" i="3" s="1"/>
  <c r="AS32" i="3" s="1"/>
  <c r="Y65" i="9"/>
  <c r="Y66" i="9" s="1"/>
  <c r="Y71" i="9" s="1"/>
  <c r="B23" i="9"/>
  <c r="AG15" i="9" s="1"/>
  <c r="AB86" i="9"/>
  <c r="AJ15" i="9" s="1"/>
  <c r="M88" i="8"/>
  <c r="B33" i="8" s="1"/>
  <c r="AG26" i="8" s="1"/>
  <c r="M76" i="8"/>
  <c r="M77" i="8" s="1"/>
  <c r="F14" i="2"/>
  <c r="C14" i="2"/>
  <c r="AR30" i="11"/>
  <c r="AR39" i="11"/>
  <c r="AR40" i="11" s="1"/>
  <c r="P87" i="11"/>
  <c r="Q87" i="11" s="1"/>
  <c r="AJ25" i="11" s="1"/>
  <c r="D32" i="11"/>
  <c r="AI25" i="11" s="1"/>
  <c r="B24" i="9"/>
  <c r="AG16" i="9" s="1"/>
  <c r="AG20" i="9" s="1"/>
  <c r="AC66" i="9"/>
  <c r="B31" i="8"/>
  <c r="AG24" i="8" s="1"/>
  <c r="P86" i="8"/>
  <c r="Q86" i="8" s="1"/>
  <c r="AJ24" i="8" s="1"/>
  <c r="O128" i="3"/>
  <c r="O129" i="3" s="1"/>
  <c r="O130" i="3" s="1"/>
  <c r="O131" i="3" s="1"/>
  <c r="P86" i="11"/>
  <c r="Q86" i="11" s="1"/>
  <c r="AJ24" i="11" s="1"/>
  <c r="D31" i="11"/>
  <c r="AI24" i="11" s="1"/>
  <c r="M136" i="4"/>
  <c r="N127" i="4"/>
  <c r="N127" i="8"/>
  <c r="M136" i="8"/>
  <c r="AR30" i="12"/>
  <c r="AR39" i="12"/>
  <c r="AR40" i="12" s="1"/>
  <c r="O128" i="4"/>
  <c r="O129" i="4" s="1"/>
  <c r="O130" i="4" s="1"/>
  <c r="O131" i="4" s="1"/>
  <c r="AR39" i="7"/>
  <c r="AR40" i="7" s="1"/>
  <c r="AR30" i="7"/>
  <c r="AR39" i="9"/>
  <c r="AR40" i="9" s="1"/>
  <c r="AR30" i="9"/>
  <c r="P86" i="5"/>
  <c r="Q86" i="5" s="1"/>
  <c r="AJ24" i="5" s="1"/>
  <c r="D31" i="5"/>
  <c r="AI24" i="5" s="1"/>
  <c r="B23" i="5"/>
  <c r="AG15" i="5" s="1"/>
  <c r="Y65" i="5"/>
  <c r="Y66" i="5" s="1"/>
  <c r="Y71" i="5" s="1"/>
  <c r="AB86" i="5"/>
  <c r="AJ15" i="5" s="1"/>
  <c r="P87" i="3"/>
  <c r="Q87" i="3" s="1"/>
  <c r="AJ25" i="3" s="1"/>
  <c r="D32" i="3"/>
  <c r="AI25" i="3" s="1"/>
  <c r="N136" i="11"/>
  <c r="O148" i="11"/>
  <c r="R148" i="11" s="1"/>
  <c r="N128" i="11"/>
  <c r="N129" i="11" s="1"/>
  <c r="N130" i="11" s="1"/>
  <c r="N131" i="11" s="1"/>
  <c r="AB75" i="11"/>
  <c r="D43" i="11" s="1"/>
  <c r="Z75" i="11"/>
  <c r="C43" i="11" s="1"/>
  <c r="AB74" i="11"/>
  <c r="D42" i="11" s="1"/>
  <c r="Z74" i="11"/>
  <c r="AB71" i="11"/>
  <c r="B41" i="11" s="1"/>
  <c r="AB76" i="11"/>
  <c r="D44" i="11" s="1"/>
  <c r="Y79" i="11"/>
  <c r="Z76" i="11"/>
  <c r="C44" i="11" s="1"/>
  <c r="K17" i="2"/>
  <c r="P87" i="10"/>
  <c r="Q87" i="10" s="1"/>
  <c r="AJ25" i="10" s="1"/>
  <c r="D32" i="10"/>
  <c r="AI25" i="10" s="1"/>
  <c r="D31" i="3"/>
  <c r="AI24" i="3" s="1"/>
  <c r="AB76" i="6"/>
  <c r="D44" i="6" s="1"/>
  <c r="Z76" i="6"/>
  <c r="C44" i="6" s="1"/>
  <c r="Y79" i="6"/>
  <c r="AB75" i="6"/>
  <c r="D43" i="6" s="1"/>
  <c r="AB74" i="6"/>
  <c r="D42" i="6" s="1"/>
  <c r="Z74" i="6"/>
  <c r="K12" i="2"/>
  <c r="Z75" i="6"/>
  <c r="C43" i="6" s="1"/>
  <c r="AB71" i="6"/>
  <c r="B41" i="6" s="1"/>
  <c r="D32" i="5"/>
  <c r="AI25" i="5" s="1"/>
  <c r="P87" i="5"/>
  <c r="Q87" i="5" s="1"/>
  <c r="AJ25" i="5" s="1"/>
  <c r="B24" i="5"/>
  <c r="AG16" i="5" s="1"/>
  <c r="AG20" i="5" s="1"/>
  <c r="AC66" i="5"/>
  <c r="AB79" i="8"/>
  <c r="AJ16" i="8" s="1"/>
  <c r="D24" i="8"/>
  <c r="AI16" i="8" s="1"/>
  <c r="AC67" i="6"/>
  <c r="AK20" i="6" s="1"/>
  <c r="AJ20" i="6"/>
  <c r="AR30" i="6"/>
  <c r="AR39" i="6"/>
  <c r="AR40" i="6" s="1"/>
  <c r="N128" i="9"/>
  <c r="N129" i="9" s="1"/>
  <c r="N130" i="9" s="1"/>
  <c r="N131" i="9" s="1"/>
  <c r="N136" i="9"/>
  <c r="O148" i="9"/>
  <c r="R148" i="9" s="1"/>
  <c r="P148" i="12"/>
  <c r="O128" i="12"/>
  <c r="O129" i="12" s="1"/>
  <c r="O130" i="12" s="1"/>
  <c r="O131" i="12" s="1"/>
  <c r="P147" i="9"/>
  <c r="P146" i="9"/>
  <c r="P86" i="6"/>
  <c r="Q86" i="6" s="1"/>
  <c r="AJ24" i="6" s="1"/>
  <c r="D31" i="6"/>
  <c r="AI24" i="6" s="1"/>
  <c r="D31" i="4"/>
  <c r="AI24" i="4" s="1"/>
  <c r="P87" i="6"/>
  <c r="Q87" i="6" s="1"/>
  <c r="AJ25" i="6" s="1"/>
  <c r="D32" i="6"/>
  <c r="AI25" i="6" s="1"/>
  <c r="M88" i="4"/>
  <c r="B33" i="4" s="1"/>
  <c r="AG26" i="4" s="1"/>
  <c r="M76" i="4"/>
  <c r="N127" i="6"/>
  <c r="M136" i="6"/>
  <c r="Z74" i="7"/>
  <c r="AB71" i="7"/>
  <c r="B41" i="7" s="1"/>
  <c r="Z76" i="7"/>
  <c r="C44" i="7" s="1"/>
  <c r="AB75" i="7"/>
  <c r="D43" i="7" s="1"/>
  <c r="Z75" i="7"/>
  <c r="C43" i="7" s="1"/>
  <c r="Y79" i="7"/>
  <c r="AB76" i="7"/>
  <c r="D44" i="7" s="1"/>
  <c r="AB74" i="7"/>
  <c r="D42" i="7" s="1"/>
  <c r="K13" i="2"/>
  <c r="M137" i="8"/>
  <c r="O137" i="8" s="1"/>
  <c r="O127" i="8"/>
  <c r="P148" i="11"/>
  <c r="O128" i="11"/>
  <c r="O129" i="11" s="1"/>
  <c r="O130" i="11" s="1"/>
  <c r="O131" i="11" s="1"/>
  <c r="AB79" i="4" l="1"/>
  <c r="AJ16" i="4" s="1"/>
  <c r="Z76" i="4"/>
  <c r="C44" i="4" s="1"/>
  <c r="K10" i="2"/>
  <c r="AB74" i="4"/>
  <c r="D42" i="4" s="1"/>
  <c r="Z74" i="4"/>
  <c r="C42" i="4" s="1"/>
  <c r="Z75" i="4"/>
  <c r="C43" i="4" s="1"/>
  <c r="AB71" i="4"/>
  <c r="B41" i="4" s="1"/>
  <c r="AB76" i="4"/>
  <c r="D44" i="4" s="1"/>
  <c r="AB75" i="4"/>
  <c r="D43" i="4" s="1"/>
  <c r="AJ20" i="4"/>
  <c r="B28" i="4" s="1"/>
  <c r="O148" i="5"/>
  <c r="M77" i="5"/>
  <c r="P148" i="5"/>
  <c r="P86" i="3"/>
  <c r="Q86" i="3" s="1"/>
  <c r="AJ24" i="3" s="1"/>
  <c r="B31" i="4"/>
  <c r="AG24" i="4" s="1"/>
  <c r="P86" i="4"/>
  <c r="Q86" i="4" s="1"/>
  <c r="AJ24" i="4" s="1"/>
  <c r="M75" i="4"/>
  <c r="M77" i="4" s="1"/>
  <c r="M79" i="4" s="1"/>
  <c r="M81" i="4" s="1"/>
  <c r="O88" i="4" s="1"/>
  <c r="M81" i="11"/>
  <c r="O88" i="11" s="1"/>
  <c r="D33" i="11" s="1"/>
  <c r="AI26" i="11" s="1"/>
  <c r="M79" i="12"/>
  <c r="Z75" i="3"/>
  <c r="C43" i="3" s="1"/>
  <c r="M81" i="7"/>
  <c r="O88" i="7" s="1"/>
  <c r="D33" i="7" s="1"/>
  <c r="AI26" i="7" s="1"/>
  <c r="O148" i="10"/>
  <c r="R148" i="10" s="1"/>
  <c r="N128" i="10"/>
  <c r="N129" i="10" s="1"/>
  <c r="N130" i="10" s="1"/>
  <c r="N131" i="10" s="1"/>
  <c r="Z76" i="3"/>
  <c r="C44" i="3" s="1"/>
  <c r="K9" i="2"/>
  <c r="AB76" i="3"/>
  <c r="D44" i="3" s="1"/>
  <c r="AB75" i="3"/>
  <c r="D43" i="3" s="1"/>
  <c r="Y79" i="3"/>
  <c r="AB79" i="3" s="1"/>
  <c r="AJ16" i="3" s="1"/>
  <c r="AB71" i="3"/>
  <c r="B41" i="3" s="1"/>
  <c r="AJ20" i="3"/>
  <c r="B28" i="3" s="1"/>
  <c r="Z74" i="3"/>
  <c r="C42" i="3" s="1"/>
  <c r="O138" i="9"/>
  <c r="O139" i="9" s="1"/>
  <c r="O140" i="9" s="1"/>
  <c r="O138" i="7"/>
  <c r="O139" i="7" s="1"/>
  <c r="O140" i="7" s="1"/>
  <c r="O138" i="4"/>
  <c r="O139" i="4" s="1"/>
  <c r="O140" i="4" s="1"/>
  <c r="P147" i="4" s="1"/>
  <c r="O148" i="3"/>
  <c r="O138" i="10"/>
  <c r="O139" i="10" s="1"/>
  <c r="O140" i="10" s="1"/>
  <c r="M81" i="6"/>
  <c r="O88" i="6" s="1"/>
  <c r="M79" i="6"/>
  <c r="P146" i="6"/>
  <c r="P147" i="6"/>
  <c r="N138" i="3"/>
  <c r="N139" i="3" s="1"/>
  <c r="N140" i="3" s="1"/>
  <c r="O148" i="6"/>
  <c r="R148" i="6" s="1"/>
  <c r="N136" i="6"/>
  <c r="N128" i="6"/>
  <c r="N129" i="6" s="1"/>
  <c r="N130" i="6" s="1"/>
  <c r="N131" i="6" s="1"/>
  <c r="N136" i="4"/>
  <c r="N128" i="4"/>
  <c r="N129" i="4" s="1"/>
  <c r="N130" i="4" s="1"/>
  <c r="N131" i="4" s="1"/>
  <c r="O147" i="12"/>
  <c r="R147" i="12" s="1"/>
  <c r="N138" i="12"/>
  <c r="N139" i="12" s="1"/>
  <c r="N140" i="12" s="1"/>
  <c r="O146" i="12"/>
  <c r="P88" i="9"/>
  <c r="Q88" i="9" s="1"/>
  <c r="AJ26" i="9" s="1"/>
  <c r="D33" i="9"/>
  <c r="AI26" i="9" s="1"/>
  <c r="AC67" i="5"/>
  <c r="AK20" i="5" s="1"/>
  <c r="AJ20" i="5"/>
  <c r="B28" i="5" s="1"/>
  <c r="Y79" i="5"/>
  <c r="AB75" i="5"/>
  <c r="D43" i="5" s="1"/>
  <c r="AB74" i="5"/>
  <c r="D42" i="5" s="1"/>
  <c r="Z74" i="5"/>
  <c r="AB76" i="5"/>
  <c r="D44" i="5" s="1"/>
  <c r="K11" i="2"/>
  <c r="Z76" i="5"/>
  <c r="C44" i="5" s="1"/>
  <c r="Z75" i="5"/>
  <c r="C43" i="5" s="1"/>
  <c r="AB71" i="5"/>
  <c r="B41" i="5" s="1"/>
  <c r="O128" i="6"/>
  <c r="O129" i="6" s="1"/>
  <c r="O130" i="6" s="1"/>
  <c r="O131" i="6" s="1"/>
  <c r="P148" i="6"/>
  <c r="P146" i="8"/>
  <c r="P147" i="8"/>
  <c r="C17" i="2"/>
  <c r="F17" i="2"/>
  <c r="O147" i="7"/>
  <c r="R147" i="7" s="1"/>
  <c r="O146" i="7"/>
  <c r="N138" i="7"/>
  <c r="N139" i="7" s="1"/>
  <c r="N140" i="7" s="1"/>
  <c r="F13" i="2"/>
  <c r="C13" i="2"/>
  <c r="F16" i="2"/>
  <c r="C16" i="2"/>
  <c r="N138" i="5"/>
  <c r="N139" i="5" s="1"/>
  <c r="N140" i="5" s="1"/>
  <c r="M14" i="2"/>
  <c r="N14" i="2" s="1"/>
  <c r="M79" i="3"/>
  <c r="M81" i="3" s="1"/>
  <c r="O88" i="3" s="1"/>
  <c r="F12" i="2"/>
  <c r="C12" i="2"/>
  <c r="P148" i="3"/>
  <c r="C42" i="10"/>
  <c r="L16" i="2"/>
  <c r="D33" i="12"/>
  <c r="AI26" i="12" s="1"/>
  <c r="P88" i="12"/>
  <c r="Q88" i="12" s="1"/>
  <c r="AJ26" i="12" s="1"/>
  <c r="D33" i="10"/>
  <c r="AI26" i="10" s="1"/>
  <c r="P88" i="10"/>
  <c r="Q88" i="10" s="1"/>
  <c r="AJ26" i="10" s="1"/>
  <c r="AB79" i="7"/>
  <c r="AJ16" i="7" s="1"/>
  <c r="D24" i="7"/>
  <c r="AI16" i="7" s="1"/>
  <c r="C42" i="6"/>
  <c r="L12" i="2"/>
  <c r="O138" i="5"/>
  <c r="O146" i="9"/>
  <c r="N138" i="9"/>
  <c r="N139" i="9" s="1"/>
  <c r="N140" i="9" s="1"/>
  <c r="O147" i="9"/>
  <c r="R147" i="9" s="1"/>
  <c r="O147" i="10"/>
  <c r="R147" i="10" s="1"/>
  <c r="O146" i="10"/>
  <c r="C42" i="11"/>
  <c r="L17" i="2"/>
  <c r="AJ20" i="9"/>
  <c r="AC67" i="9"/>
  <c r="AK20" i="9" s="1"/>
  <c r="C18" i="2"/>
  <c r="F18" i="2"/>
  <c r="O147" i="11"/>
  <c r="R147" i="11" s="1"/>
  <c r="N138" i="11"/>
  <c r="N139" i="11" s="1"/>
  <c r="N140" i="11" s="1"/>
  <c r="O146" i="11"/>
  <c r="O148" i="8"/>
  <c r="R148" i="8" s="1"/>
  <c r="N136" i="8"/>
  <c r="N128" i="8"/>
  <c r="N129" i="8" s="1"/>
  <c r="N130" i="8" s="1"/>
  <c r="N131" i="8" s="1"/>
  <c r="AB79" i="6"/>
  <c r="AJ16" i="6" s="1"/>
  <c r="D24" i="6"/>
  <c r="AI16" i="6" s="1"/>
  <c r="M81" i="8"/>
  <c r="O88" i="8" s="1"/>
  <c r="M79" i="8"/>
  <c r="O138" i="12"/>
  <c r="O139" i="12" s="1"/>
  <c r="O140" i="12" s="1"/>
  <c r="AB79" i="10"/>
  <c r="AJ16" i="10" s="1"/>
  <c r="D24" i="10"/>
  <c r="AI16" i="10" s="1"/>
  <c r="AB74" i="9"/>
  <c r="D42" i="9" s="1"/>
  <c r="AB71" i="9"/>
  <c r="B41" i="9" s="1"/>
  <c r="Y79" i="9"/>
  <c r="AB76" i="9"/>
  <c r="D44" i="9" s="1"/>
  <c r="AB75" i="9"/>
  <c r="D43" i="9" s="1"/>
  <c r="Z76" i="9"/>
  <c r="C44" i="9" s="1"/>
  <c r="Z75" i="9"/>
  <c r="C43" i="9" s="1"/>
  <c r="Z74" i="9"/>
  <c r="K15" i="2"/>
  <c r="D24" i="11"/>
  <c r="AI16" i="11" s="1"/>
  <c r="AB79" i="11"/>
  <c r="AJ16" i="11" s="1"/>
  <c r="C42" i="7"/>
  <c r="L13" i="2"/>
  <c r="P148" i="4"/>
  <c r="AB79" i="12"/>
  <c r="AJ16" i="12" s="1"/>
  <c r="D24" i="12"/>
  <c r="AI16" i="12" s="1"/>
  <c r="O138" i="11"/>
  <c r="O139" i="11" s="1"/>
  <c r="O140" i="11" s="1"/>
  <c r="O128" i="8"/>
  <c r="O129" i="8" s="1"/>
  <c r="O130" i="8" s="1"/>
  <c r="O131" i="8" s="1"/>
  <c r="P148" i="8"/>
  <c r="C42" i="12"/>
  <c r="L18" i="2"/>
  <c r="O138" i="3"/>
  <c r="L10" i="2" l="1"/>
  <c r="M10" i="2" s="1"/>
  <c r="N10" i="2" s="1"/>
  <c r="R148" i="5"/>
  <c r="O147" i="5"/>
  <c r="O146" i="5"/>
  <c r="M79" i="5"/>
  <c r="M81" i="5" s="1"/>
  <c r="O88" i="5" s="1"/>
  <c r="O139" i="5"/>
  <c r="O140" i="5" s="1"/>
  <c r="P147" i="5"/>
  <c r="P88" i="7"/>
  <c r="Q88" i="7" s="1"/>
  <c r="AJ26" i="7" s="1"/>
  <c r="AM11" i="7" s="1"/>
  <c r="I44" i="7" s="1"/>
  <c r="L39" i="1" s="1"/>
  <c r="P88" i="11"/>
  <c r="Q88" i="11" s="1"/>
  <c r="AJ26" i="11" s="1"/>
  <c r="AM11" i="11" s="1"/>
  <c r="I44" i="11" s="1"/>
  <c r="L43" i="1" s="1"/>
  <c r="N138" i="10"/>
  <c r="N139" i="10" s="1"/>
  <c r="N140" i="10" s="1"/>
  <c r="L9" i="2"/>
  <c r="M9" i="2" s="1"/>
  <c r="C9" i="2" s="1"/>
  <c r="D24" i="3"/>
  <c r="AI16" i="3" s="1"/>
  <c r="R148" i="3"/>
  <c r="P146" i="4"/>
  <c r="O147" i="3"/>
  <c r="P88" i="4"/>
  <c r="Q88" i="4" s="1"/>
  <c r="AJ26" i="4" s="1"/>
  <c r="AM11" i="4" s="1"/>
  <c r="I44" i="4" s="1"/>
  <c r="L36" i="1" s="1"/>
  <c r="D33" i="4"/>
  <c r="AI26" i="4" s="1"/>
  <c r="P88" i="3"/>
  <c r="Q88" i="3" s="1"/>
  <c r="AJ26" i="3" s="1"/>
  <c r="AM11" i="3" s="1"/>
  <c r="I44" i="3" s="1"/>
  <c r="L35" i="1" s="1"/>
  <c r="D33" i="3"/>
  <c r="AI26" i="3" s="1"/>
  <c r="M18" i="2"/>
  <c r="N18" i="2" s="1"/>
  <c r="O139" i="3"/>
  <c r="O140" i="3" s="1"/>
  <c r="O147" i="8"/>
  <c r="R147" i="8" s="1"/>
  <c r="N138" i="8"/>
  <c r="N139" i="8" s="1"/>
  <c r="N140" i="8" s="1"/>
  <c r="O146" i="8"/>
  <c r="O138" i="8"/>
  <c r="O139" i="8" s="1"/>
  <c r="O140" i="8" s="1"/>
  <c r="O146" i="3"/>
  <c r="AM11" i="10"/>
  <c r="I44" i="10" s="1"/>
  <c r="L42" i="1" s="1"/>
  <c r="O148" i="4"/>
  <c r="R148" i="4" s="1"/>
  <c r="M13" i="2"/>
  <c r="N13" i="2" s="1"/>
  <c r="AM11" i="12"/>
  <c r="I44" i="12" s="1"/>
  <c r="L44" i="1" s="1"/>
  <c r="N138" i="4"/>
  <c r="N139" i="4" s="1"/>
  <c r="N140" i="4" s="1"/>
  <c r="M17" i="2"/>
  <c r="N17" i="2" s="1"/>
  <c r="L11" i="2"/>
  <c r="C42" i="5"/>
  <c r="O146" i="6"/>
  <c r="O147" i="6"/>
  <c r="R147" i="6" s="1"/>
  <c r="N138" i="6"/>
  <c r="N139" i="6" s="1"/>
  <c r="N140" i="6" s="1"/>
  <c r="F15" i="2"/>
  <c r="C15" i="2"/>
  <c r="M16" i="2"/>
  <c r="N16" i="2" s="1"/>
  <c r="O138" i="6"/>
  <c r="O139" i="6" s="1"/>
  <c r="O140" i="6" s="1"/>
  <c r="M12" i="2"/>
  <c r="N12" i="2" s="1"/>
  <c r="C42" i="9"/>
  <c r="L15" i="2"/>
  <c r="D33" i="8"/>
  <c r="AI26" i="8" s="1"/>
  <c r="P88" i="8"/>
  <c r="Q88" i="8" s="1"/>
  <c r="AJ26" i="8" s="1"/>
  <c r="AM11" i="8" s="1"/>
  <c r="I44" i="8" s="1"/>
  <c r="L40" i="1" s="1"/>
  <c r="D24" i="9"/>
  <c r="AI16" i="9" s="1"/>
  <c r="AB79" i="9"/>
  <c r="AJ16" i="9" s="1"/>
  <c r="AM11" i="9" s="1"/>
  <c r="I44" i="9" s="1"/>
  <c r="L41" i="1" s="1"/>
  <c r="D24" i="5"/>
  <c r="AI16" i="5" s="1"/>
  <c r="AB79" i="5"/>
  <c r="AJ16" i="5" s="1"/>
  <c r="D33" i="6"/>
  <c r="AI26" i="6" s="1"/>
  <c r="P88" i="6"/>
  <c r="Q88" i="6" s="1"/>
  <c r="AJ26" i="6" s="1"/>
  <c r="AM11" i="6" s="1"/>
  <c r="I44" i="6" s="1"/>
  <c r="C10" i="2" l="1"/>
  <c r="F10" i="2"/>
  <c r="R147" i="5"/>
  <c r="P88" i="5"/>
  <c r="Q88" i="5" s="1"/>
  <c r="AJ26" i="5" s="1"/>
  <c r="AM11" i="5" s="1"/>
  <c r="I44" i="5" s="1"/>
  <c r="D33" i="5"/>
  <c r="AI26" i="5" s="1"/>
  <c r="P146" i="5"/>
  <c r="R145" i="5" s="1"/>
  <c r="P147" i="3"/>
  <c r="R147" i="3" s="1"/>
  <c r="O146" i="4"/>
  <c r="R145" i="4" s="1"/>
  <c r="P146" i="3"/>
  <c r="R145" i="3" s="1"/>
  <c r="M15" i="2"/>
  <c r="N15" i="2" s="1"/>
  <c r="N9" i="2"/>
  <c r="F9" i="2" s="1"/>
  <c r="M11" i="2"/>
  <c r="O147" i="4"/>
  <c r="R147" i="4" s="1"/>
  <c r="N11" i="2" l="1"/>
  <c r="F11" i="2" s="1"/>
  <c r="C1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L19" authorId="0" shapeId="0" xr:uid="{00000000-0006-0000-0000-000001000000}">
      <text>
        <r>
          <rPr>
            <sz val="10"/>
            <color rgb="FF000000"/>
            <rFont val="Arial"/>
            <family val="2"/>
          </rPr>
          <t>This is only used to determine the schedule column type on the next page
	-Denis Clayson</t>
        </r>
      </text>
    </comment>
    <comment ref="E34" authorId="0" shapeId="0" xr:uid="{00000000-0006-0000-0000-000004000000}">
      <text>
        <r>
          <rPr>
            <sz val="10"/>
            <color rgb="FF000000"/>
            <rFont val="Arial"/>
            <family val="2"/>
          </rPr>
          <t>Cell will highlight if you use a bar size greater than #7
	-Denis Clayson</t>
        </r>
      </text>
    </comment>
    <comment ref="F34" authorId="0" shapeId="0" xr:uid="{00000000-0006-0000-0000-000007000000}">
      <text>
        <r>
          <rPr>
            <sz val="10"/>
            <color rgb="FF000000"/>
            <rFont val="Arial"/>
            <family val="2"/>
          </rPr>
          <t>Cell will highlight yellow if there is not enough room above the opening in the wall for the lintel
	-Denis Clayson</t>
        </r>
      </text>
    </comment>
    <comment ref="G34" authorId="0" shapeId="0" xr:uid="{00000000-0006-0000-0000-000006000000}">
      <text>
        <r>
          <rPr>
            <sz val="10"/>
            <color rgb="FF000000"/>
            <rFont val="Arial"/>
            <family val="2"/>
          </rPr>
          <t>Cell will highlight red if there are more than 1 #7 in a 8" course/cell (will not fit)
	-Denis Clayson</t>
        </r>
      </text>
    </comment>
    <comment ref="H34" authorId="0" shapeId="0" xr:uid="{00000000-0006-0000-0000-000002000000}">
      <text>
        <r>
          <rPr>
            <sz val="10"/>
            <color rgb="FF000000"/>
            <rFont val="Arial"/>
            <family val="2"/>
          </rPr>
          <t>Number of courses that have reinforcing at the bottom of the lintel.  This is used to calculate d, the depth to the middle of the reinforcing
	-Denis Clayson</t>
        </r>
      </text>
    </comment>
    <comment ref="I34" authorId="0" shapeId="0" xr:uid="{00000000-0006-0000-0000-000003000000}">
      <text>
        <r>
          <rPr>
            <sz val="10"/>
            <color rgb="FF000000"/>
            <rFont val="Arial"/>
            <family val="2"/>
          </rPr>
          <t>Cell will highlight if you use a bar size greater than #7
	-Denis Clayson</t>
        </r>
      </text>
    </comment>
    <comment ref="K34" authorId="0" shapeId="0" xr:uid="{00000000-0006-0000-0000-000005000000}">
      <text>
        <r>
          <rPr>
            <sz val="10"/>
            <color rgb="FF000000"/>
            <rFont val="Arial"/>
            <family val="2"/>
          </rPr>
          <t>Cell will highlight red if there are more than 1 #7 in a 8" course/cell (will not fit)
	-Denis Clayson</t>
        </r>
      </text>
    </comment>
  </commentList>
</comments>
</file>

<file path=xl/sharedStrings.xml><?xml version="1.0" encoding="utf-8"?>
<sst xmlns="http://schemas.openxmlformats.org/spreadsheetml/2006/main" count="4960" uniqueCount="356">
  <si>
    <t>DESIGN MODULE - MASONRY WALL OPENING</t>
  </si>
  <si>
    <t>TYPE 1 Wall Weight Finishes:</t>
  </si>
  <si>
    <t>TYPE 2 Wall Weight Finishes:</t>
  </si>
  <si>
    <t>Seismic Importance:</t>
  </si>
  <si>
    <t>0.4SdSIe:</t>
  </si>
  <si>
    <t>WALL DESIGN INFORMATION</t>
  </si>
  <si>
    <t>ROOF</t>
  </si>
  <si>
    <t>FLOOR</t>
  </si>
  <si>
    <t>DEAD:</t>
  </si>
  <si>
    <t>f'm:</t>
  </si>
  <si>
    <t>LIVE:</t>
  </si>
  <si>
    <t>Fy:</t>
  </si>
  <si>
    <t>SNOW/Lr:</t>
  </si>
  <si>
    <t>Solid Opening:</t>
  </si>
  <si>
    <t>Y</t>
  </si>
  <si>
    <t>Interior Wall:</t>
  </si>
  <si>
    <t>N</t>
  </si>
  <si>
    <t>OUT OF PLANE LOADS</t>
  </si>
  <si>
    <t>Wall Type</t>
  </si>
  <si>
    <t>Wall Weight (Finishes Only)</t>
  </si>
  <si>
    <t>W:</t>
  </si>
  <si>
    <r>
      <rPr>
        <sz val="9"/>
        <rFont val="Arial"/>
        <family val="2"/>
      </rPr>
      <t>S</t>
    </r>
    <r>
      <rPr>
        <sz val="6"/>
        <rFont val="Arial"/>
        <family val="2"/>
      </rPr>
      <t>DS</t>
    </r>
    <r>
      <rPr>
        <sz val="9"/>
        <rFont val="Arial"/>
        <family val="2"/>
      </rPr>
      <t>:</t>
    </r>
  </si>
  <si>
    <t>LINTEL ID</t>
  </si>
  <si>
    <t>WALL TYPE</t>
  </si>
  <si>
    <t>WALL HEIGHT</t>
  </si>
  <si>
    <t>WALL THICKNESS</t>
  </si>
  <si>
    <t>ROOF DECK HEIGHT</t>
  </si>
  <si>
    <t>ROOF
TRIB</t>
  </si>
  <si>
    <t>FLOOR TRIB</t>
  </si>
  <si>
    <t>VERTICAL LOADING</t>
  </si>
  <si>
    <t># MATS HOR REINF</t>
  </si>
  <si>
    <t>DEPTH/WIDTH</t>
  </si>
  <si>
    <t>DEAD</t>
  </si>
  <si>
    <t>LIVE</t>
  </si>
  <si>
    <t>SNOW/Lr</t>
  </si>
  <si>
    <t>ML1</t>
  </si>
  <si>
    <t>8" CMU</t>
  </si>
  <si>
    <t>10" CMU</t>
  </si>
  <si>
    <t>MASONRY WALL DESIGN</t>
  </si>
  <si>
    <t>WALL GROUT SPACING</t>
  </si>
  <si>
    <t>OPENING</t>
  </si>
  <si>
    <t>LINTEL</t>
  </si>
  <si>
    <t>JAMB COLUMN</t>
  </si>
  <si>
    <t>STATUS</t>
  </si>
  <si>
    <t>Rebar Warnings</t>
  </si>
  <si>
    <t>HEIGHT</t>
  </si>
  <si>
    <t>WIDTH</t>
  </si>
  <si>
    <t>BAR SIZE</t>
  </si>
  <si>
    <t>DEPTH</t>
  </si>
  <si>
    <t>BARS/ COURSE</t>
  </si>
  <si>
    <t># OF COURSES</t>
  </si>
  <si>
    <t>BARS/ CELL</t>
  </si>
  <si>
    <t>L Rebar</t>
  </si>
  <si>
    <t>C Rebar</t>
  </si>
  <si>
    <t>32" o.c.</t>
  </si>
  <si>
    <t>Solid</t>
  </si>
  <si>
    <t>MASONRY LINTEL SCHEDULE</t>
  </si>
  <si>
    <t>MARK</t>
  </si>
  <si>
    <t>TYPE</t>
  </si>
  <si>
    <t>LINTEL REINFORCING</t>
  </si>
  <si>
    <t>SUPPORT COLUMN</t>
  </si>
  <si>
    <t>COMMENTS</t>
  </si>
  <si>
    <t>HORIZONTAL</t>
  </si>
  <si>
    <t>STIRRUPS</t>
  </si>
  <si>
    <t>Stirrups?</t>
  </si>
  <si>
    <t>Stirrup Size</t>
  </si>
  <si>
    <t>#Legs</t>
  </si>
  <si>
    <t>Spacing</t>
  </si>
  <si>
    <t>MASONRY JAMB COLUMN SCHEDULE</t>
  </si>
  <si>
    <t>SIZE</t>
  </si>
  <si>
    <t>COLUMN REINFORCING</t>
  </si>
  <si>
    <t>VERTICAL</t>
  </si>
  <si>
    <t>TIES</t>
  </si>
  <si>
    <t>Type</t>
  </si>
  <si>
    <t>MASONRY WALL OPENING</t>
  </si>
  <si>
    <t>Data and Program Calculations</t>
  </si>
  <si>
    <t>Program Tables</t>
  </si>
  <si>
    <t>Assumptions + Quick Checks</t>
  </si>
  <si>
    <t>Program Graphing</t>
  </si>
  <si>
    <t>Code Reference or Sub-title</t>
  </si>
  <si>
    <t>Assumptions:</t>
  </si>
  <si>
    <t>Lintel Depth:</t>
  </si>
  <si>
    <t>in</t>
  </si>
  <si>
    <t>- Load combination factor f1 = 1.0.  This may be changed in the data sheet if conditions are different.</t>
  </si>
  <si>
    <t>Wall Outline</t>
  </si>
  <si>
    <t>General Design Input</t>
  </si>
  <si>
    <t>Total Wall Height:</t>
  </si>
  <si>
    <t>ft</t>
  </si>
  <si>
    <t>No. of Long Bars:</t>
  </si>
  <si>
    <t>Vert DL:</t>
  </si>
  <si>
    <t>plf</t>
  </si>
  <si>
    <t>Wall Thickness</t>
  </si>
  <si>
    <t>- Reinforcement is grade 60.</t>
  </si>
  <si>
    <t>POINT</t>
  </si>
  <si>
    <t>X</t>
  </si>
  <si>
    <t>Wall Thickness:</t>
  </si>
  <si>
    <t>Bar Size:</t>
  </si>
  <si>
    <t>Vert LL:</t>
  </si>
  <si>
    <t>Choose</t>
  </si>
  <si>
    <t>Thickness</t>
  </si>
  <si>
    <t>Solid Wt</t>
  </si>
  <si>
    <t>- Modulus of rupture, fr = 200psi (Type S mortar)</t>
  </si>
  <si>
    <t>Opening Height:</t>
  </si>
  <si>
    <t>No. of Courses:</t>
  </si>
  <si>
    <t>Vert SL:</t>
  </si>
  <si>
    <t>Block Thickness:</t>
  </si>
  <si>
    <t>Opening Width:</t>
  </si>
  <si>
    <t>Column Width:</t>
  </si>
  <si>
    <t>Horz Wind:</t>
  </si>
  <si>
    <t>psf</t>
  </si>
  <si>
    <t>Roof Deck Height:</t>
  </si>
  <si>
    <t>Depth to Bar:</t>
  </si>
  <si>
    <t>Horz Quake:</t>
  </si>
  <si>
    <t>12" CMU</t>
  </si>
  <si>
    <t>Grouted @:</t>
  </si>
  <si>
    <t>in oc</t>
  </si>
  <si>
    <t>No. of Bars:</t>
  </si>
  <si>
    <t>USE</t>
  </si>
  <si>
    <t>Masonry f'm:</t>
  </si>
  <si>
    <t>psi</t>
  </si>
  <si>
    <t>Bar fy:</t>
  </si>
  <si>
    <t>ksi</t>
  </si>
  <si>
    <t>Cells Grouted @:</t>
  </si>
  <si>
    <t>No bars/cell:</t>
  </si>
  <si>
    <t>Quick Checks:</t>
  </si>
  <si>
    <t>Overall Status:</t>
  </si>
  <si>
    <t>Depth to Bar(s):</t>
  </si>
  <si>
    <t>General Calculations</t>
  </si>
  <si>
    <t>Column Loading:</t>
  </si>
  <si>
    <t>Vertical Grout Spacing</t>
  </si>
  <si>
    <t>Width</t>
  </si>
  <si>
    <t>Wall Slenderness Ratio:</t>
  </si>
  <si>
    <t>h/w</t>
  </si>
  <si>
    <t>Tributary Width from Wall:</t>
  </si>
  <si>
    <t>48" o.c.</t>
  </si>
  <si>
    <t>Demand</t>
  </si>
  <si>
    <t>Capacity</t>
  </si>
  <si>
    <t>Status</t>
  </si>
  <si>
    <t>Notes</t>
  </si>
  <si>
    <t>Analysis and Calculations</t>
  </si>
  <si>
    <t>Wall Weight:</t>
  </si>
  <si>
    <t>Tribtary Width from Lintel:</t>
  </si>
  <si>
    <t>Mu:</t>
  </si>
  <si>
    <t>fMn:</t>
  </si>
  <si>
    <t>---</t>
  </si>
  <si>
    <t>Roof Line</t>
  </si>
  <si>
    <t>Solid Grout Weight:</t>
  </si>
  <si>
    <t>DL in Column:</t>
  </si>
  <si>
    <t>lb</t>
  </si>
  <si>
    <t>24 o.c.</t>
  </si>
  <si>
    <t>Vu:</t>
  </si>
  <si>
    <t>fVn:</t>
  </si>
  <si>
    <t>Masonry Lintel:</t>
  </si>
  <si>
    <t>Vert Lintel Weight:</t>
  </si>
  <si>
    <t>LL in Column:</t>
  </si>
  <si>
    <t>16" o.c.</t>
  </si>
  <si>
    <t>1.3Mcr</t>
  </si>
  <si>
    <t>Mn:</t>
  </si>
  <si>
    <t>Arching action:</t>
  </si>
  <si>
    <t>Column Weight:</t>
  </si>
  <si>
    <t>SL in Column:</t>
  </si>
  <si>
    <t>8" o.c.</t>
  </si>
  <si>
    <t>Δ:</t>
  </si>
  <si>
    <t>Δall:</t>
  </si>
  <si>
    <t>Effective Span, le:</t>
  </si>
  <si>
    <t>Wind Load 1 Out of Plane:</t>
  </si>
  <si>
    <t>plf from wall</t>
  </si>
  <si>
    <t>As,max:</t>
  </si>
  <si>
    <t>As:</t>
  </si>
  <si>
    <t>Depth to Reinf, d:</t>
  </si>
  <si>
    <t>Wall Type:</t>
  </si>
  <si>
    <t>Wind Load 2 Out of Plane:</t>
  </si>
  <si>
    <t>plf from lintel</t>
  </si>
  <si>
    <t>Cu:</t>
  </si>
  <si>
    <t>fCn:</t>
  </si>
  <si>
    <t>Quake Load 1 Out of Plane:</t>
  </si>
  <si>
    <t>Columns</t>
  </si>
  <si>
    <t>EQ:</t>
  </si>
  <si>
    <t>Quake Load 2 Out of Plane:</t>
  </si>
  <si>
    <t>COLUMN</t>
  </si>
  <si>
    <t>Out of Plane Bending in Wall</t>
  </si>
  <si>
    <t>Mu+:</t>
  </si>
  <si>
    <t>Reinforcing Bar Area</t>
  </si>
  <si>
    <t>Mu-:</t>
  </si>
  <si>
    <t>Min. Capacity:</t>
  </si>
  <si>
    <t>Load Combinaton:</t>
  </si>
  <si>
    <t>Load 1</t>
  </si>
  <si>
    <t>Load 2</t>
  </si>
  <si>
    <t>Deflection:</t>
  </si>
  <si>
    <t>1.2 D + E:</t>
  </si>
  <si>
    <t>Design Forces</t>
  </si>
  <si>
    <t>Pu:</t>
  </si>
  <si>
    <t>fPn:</t>
  </si>
  <si>
    <t>1.2 D + 1.0W:</t>
  </si>
  <si>
    <t>lb-ft</t>
  </si>
  <si>
    <t>Masonry Column:</t>
  </si>
  <si>
    <t>USE:</t>
  </si>
  <si>
    <t>Moment Capacity of Wall</t>
  </si>
  <si>
    <t>in2</t>
  </si>
  <si>
    <t>a:</t>
  </si>
  <si>
    <t>Compression Mn:</t>
  </si>
  <si>
    <t>MAX</t>
  </si>
  <si>
    <t>b:</t>
  </si>
  <si>
    <t>Tension Mn:</t>
  </si>
  <si>
    <t>d:</t>
  </si>
  <si>
    <t xml:space="preserve">in </t>
  </si>
  <si>
    <t>f'm check:</t>
  </si>
  <si>
    <t>Beam</t>
  </si>
  <si>
    <t>c:</t>
  </si>
  <si>
    <t>Design Summary</t>
  </si>
  <si>
    <t>Masonry Lintel</t>
  </si>
  <si>
    <t>Masonry Column</t>
  </si>
  <si>
    <t>LINTEL CALCULATIONS</t>
  </si>
  <si>
    <t>No. Grouted Courses:</t>
  </si>
  <si>
    <t>No. of Grouted Cells:</t>
  </si>
  <si>
    <t>Parameters for Calculations:</t>
  </si>
  <si>
    <t>Flexural Reinforcing:</t>
  </si>
  <si>
    <t>Long. Reinforcing:</t>
  </si>
  <si>
    <t>le:</t>
  </si>
  <si>
    <t>1-Leg</t>
  </si>
  <si>
    <t>2-Legs</t>
  </si>
  <si>
    <t>Depth to bar(s):</t>
  </si>
  <si>
    <t>#3 @</t>
  </si>
  <si>
    <t>#4 @</t>
  </si>
  <si>
    <t>Arching action allowed:</t>
  </si>
  <si>
    <t>#5 @</t>
  </si>
  <si>
    <t>Allow h:</t>
  </si>
  <si>
    <t>DL w/ Arching Action:</t>
  </si>
  <si>
    <t>Design Loads:</t>
  </si>
  <si>
    <t>Service Loading</t>
  </si>
  <si>
    <t>DL:</t>
  </si>
  <si>
    <t>TL:</t>
  </si>
  <si>
    <t>LL:</t>
  </si>
  <si>
    <t>SL:</t>
  </si>
  <si>
    <t>Mser:</t>
  </si>
  <si>
    <t>ft-lb</t>
  </si>
  <si>
    <t>Axial Load Design section 3.3.4</t>
  </si>
  <si>
    <t>Load Combinations:</t>
  </si>
  <si>
    <t>f1:</t>
  </si>
  <si>
    <t>1.2 D + 1.6 L + 0.5 S</t>
  </si>
  <si>
    <t>Column Area:</t>
  </si>
  <si>
    <t>Pn:</t>
  </si>
  <si>
    <t>Eq 3-18</t>
  </si>
  <si>
    <t>1.2 D + 1.6 S + f1 L</t>
  </si>
  <si>
    <t>Ix:</t>
  </si>
  <si>
    <t>in4</t>
  </si>
  <si>
    <t>Eq 3-19</t>
  </si>
  <si>
    <t>r:</t>
  </si>
  <si>
    <t>Column h/r:</t>
  </si>
  <si>
    <t>Shear Capacity of Lintel: (Section 3.3.4.1.2)</t>
  </si>
  <si>
    <t>Shear strength of masonry:</t>
  </si>
  <si>
    <t>An:</t>
  </si>
  <si>
    <t>Check Bearing of lintel:</t>
  </si>
  <si>
    <t>Slender Wall Design Provisions 3.3.5</t>
  </si>
  <si>
    <t>Mu/Vu*dv:</t>
  </si>
  <si>
    <t>Vm:</t>
  </si>
  <si>
    <t>Status:</t>
  </si>
  <si>
    <t>h/w:</t>
  </si>
  <si>
    <t>If h/w &gt;30 Then these slender wall criteria control</t>
  </si>
  <si>
    <t>Pu/Ag:</t>
  </si>
  <si>
    <t>Shear strength of reinforcement:</t>
  </si>
  <si>
    <t>0.20 f'm:</t>
  </si>
  <si>
    <t>Eccentricity:</t>
  </si>
  <si>
    <t>Min Av:</t>
  </si>
  <si>
    <t>0.05 f'm</t>
  </si>
  <si>
    <t>Additional Moment:</t>
  </si>
  <si>
    <t>Max S:</t>
  </si>
  <si>
    <t>Vs:</t>
  </si>
  <si>
    <t>Shear Calculations</t>
  </si>
  <si>
    <t>1-Leg Area</t>
  </si>
  <si>
    <t>1-Leg S</t>
  </si>
  <si>
    <t>2-Leg Area</t>
  </si>
  <si>
    <t>2-Leg S</t>
  </si>
  <si>
    <t>in o.c.</t>
  </si>
  <si>
    <t>Total Mu:</t>
  </si>
  <si>
    <t>Total Vu:</t>
  </si>
  <si>
    <t>Mu/Vu d:</t>
  </si>
  <si>
    <t>&lt;0.25</t>
  </si>
  <si>
    <t>btwn</t>
  </si>
  <si>
    <t>&gt;1,00</t>
  </si>
  <si>
    <t>Vn:</t>
  </si>
  <si>
    <t>Moment Capacity of Lintel: (Section 3.3.4.1)</t>
  </si>
  <si>
    <t>TOTAL DESIGN SUMMARY</t>
  </si>
  <si>
    <t>fy:</t>
  </si>
  <si>
    <t>S.F.</t>
  </si>
  <si>
    <t>Check minimum flexural strength:</t>
  </si>
  <si>
    <t>fr:</t>
  </si>
  <si>
    <t>Sx:</t>
  </si>
  <si>
    <t>in3</t>
  </si>
  <si>
    <t>Moment and Shear Scenarios</t>
  </si>
  <si>
    <t>Mcr:</t>
  </si>
  <si>
    <t>SOLID</t>
  </si>
  <si>
    <t>EQ</t>
  </si>
  <si>
    <t>WIND</t>
  </si>
  <si>
    <t>Check maximum flexural reinforcement:</t>
  </si>
  <si>
    <t>w:</t>
  </si>
  <si>
    <t>l:</t>
  </si>
  <si>
    <t>w2 (parapet):</t>
  </si>
  <si>
    <t>Deflection Calculation:</t>
  </si>
  <si>
    <t>(E = 900f'm)</t>
  </si>
  <si>
    <t>R2:</t>
  </si>
  <si>
    <t>n:</t>
  </si>
  <si>
    <t>R1:</t>
  </si>
  <si>
    <t>kd:</t>
  </si>
  <si>
    <t>Total:</t>
  </si>
  <si>
    <t>Ig:</t>
  </si>
  <si>
    <t>Shear Points</t>
  </si>
  <si>
    <t>W</t>
  </si>
  <si>
    <t>Icr:</t>
  </si>
  <si>
    <t>Ie:</t>
  </si>
  <si>
    <t>Span/Def Ratio:</t>
  </si>
  <si>
    <t>Moment</t>
  </si>
  <si>
    <t>M1</t>
  </si>
  <si>
    <t>M2</t>
  </si>
  <si>
    <t>OPEN</t>
  </si>
  <si>
    <t>ww:</t>
  </si>
  <si>
    <t>wl:</t>
  </si>
  <si>
    <t>w (parapet):</t>
  </si>
  <si>
    <t>2E</t>
  </si>
  <si>
    <t>2W</t>
  </si>
  <si>
    <t>SOLID?</t>
  </si>
  <si>
    <t>SOLID EQ</t>
  </si>
  <si>
    <t>SOLID W</t>
  </si>
  <si>
    <t>OPEN EQ</t>
  </si>
  <si>
    <t>OPEN W</t>
  </si>
  <si>
    <t>OVERALL SOLID</t>
  </si>
  <si>
    <t>OVERALL OPEN</t>
  </si>
  <si>
    <t>DESIGN</t>
  </si>
  <si>
    <t>Mu+ (no parapet)</t>
  </si>
  <si>
    <t>Mu+</t>
  </si>
  <si>
    <t>Mu-</t>
  </si>
  <si>
    <t>Vu</t>
  </si>
  <si>
    <t>Total Load:</t>
  </si>
  <si>
    <t>LOADS FROM ROOF/FLOOR</t>
  </si>
  <si>
    <t xml:space="preserve">  </t>
  </si>
  <si>
    <t>CREECH DRP PH2 - LEVEL 2 OPENING</t>
  </si>
  <si>
    <t>Negative Zone 1</t>
  </si>
  <si>
    <t>Negative Zone 2</t>
  </si>
  <si>
    <t>Negative Zone 3</t>
  </si>
  <si>
    <t>Negative Zone 4</t>
  </si>
  <si>
    <t>Negative Zone 5</t>
  </si>
  <si>
    <t>Negative Zone 1'</t>
  </si>
  <si>
    <t>Postive Zones</t>
  </si>
  <si>
    <t>Area</t>
  </si>
  <si>
    <t>Wind Load (psf)</t>
  </si>
  <si>
    <t>Positive Zone 4 &amp; 5</t>
  </si>
  <si>
    <t>Snow Drift</t>
  </si>
  <si>
    <t>Mark</t>
  </si>
  <si>
    <t>SD-1</t>
  </si>
  <si>
    <t>Drift Width (d)</t>
  </si>
  <si>
    <t>Balanced Snow Load (Pf)</t>
  </si>
  <si>
    <t>Surcharge Load (Pd)</t>
  </si>
  <si>
    <t>10ft</t>
  </si>
  <si>
    <t>41.8psf</t>
  </si>
  <si>
    <t>21psf</t>
  </si>
  <si>
    <t>ML2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</si>
</sst>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164" formatCode="0.00\ &quot;psf&quot;"/>
    <numFmt numFmtId="165" formatCode="0\ &quot;plf&quot;"/>
    <numFmt numFmtId="166" formatCode="0\ &quot;psf&quot;"/>
    <numFmt numFmtId="167" formatCode="0.000"/>
    <numFmt numFmtId="168" formatCode="0.0\ &quot;psf&quot;"/>
    <numFmt numFmtId="169" formatCode="0\ &quot;psi&quot;"/>
    <numFmt numFmtId="170" formatCode="&quot;L/&quot;\ 0"/>
    <numFmt numFmtId="171" formatCode="0\ &quot;ksi&quot;"/>
    <numFmt numFmtId="172" formatCode="0\ &quot;in&quot;"/>
    <numFmt numFmtId="173" formatCode="0.0\ &quot;ft&quot;"/>
    <numFmt numFmtId="174" formatCode="0.00\ &quot;in&quot;"/>
    <numFmt numFmtId="175" formatCode="0.00\ &quot;ft&quot;"/>
    <numFmt numFmtId="176" formatCode="&quot;#&quot;0"/>
    <numFmt numFmtId="177" formatCode="0\ &quot;''&quot;"/>
    <numFmt numFmtId="178" formatCode="0.0\ &quot;kips&quot;"/>
    <numFmt numFmtId="179" formatCode="&quot;(&quot;0&quot;)&quot;"/>
    <numFmt numFmtId="180" formatCode="0\ &quot;in o.c.&quot;"/>
    <numFmt numFmtId="181" formatCode="0.0\ &quot;k-ft&quot;"/>
    <numFmt numFmtId="182" formatCode="0.0\ &quot;k&quot;"/>
    <numFmt numFmtId="183" formatCode="0.000\ &quot;in&quot;"/>
    <numFmt numFmtId="184" formatCode="0.00\ &quot;in2&quot;"/>
    <numFmt numFmtId="185" formatCode="0.0\ &quot;in&quot;"/>
    <numFmt numFmtId="186" formatCode="0.00\ &quot;k-ft&quot;"/>
    <numFmt numFmtId="187" formatCode="0.00\ &quot;k&quot;"/>
    <numFmt numFmtId="188" formatCode="&quot;l/&quot;0"/>
    <numFmt numFmtId="189" formatCode="0\ &quot;k-ft&quot;"/>
    <numFmt numFmtId="190" formatCode="0.0"/>
    <numFmt numFmtId="191" formatCode="0.0000"/>
    <numFmt numFmtId="192" formatCode="#,##0.0"/>
  </numFmts>
  <fonts count="71">
    <font>
      <sz val="10"/>
      <color rgb="FF000000"/>
      <name val="Arial"/>
    </font>
    <font>
      <sz val="14"/>
      <name val="Arial"/>
      <family val="2"/>
    </font>
    <font>
      <sz val="9"/>
      <name val="Arial"/>
      <family val="2"/>
    </font>
    <font>
      <sz val="18"/>
      <name val="Avian"/>
    </font>
    <font>
      <sz val="10"/>
      <name val="Avian"/>
    </font>
    <font>
      <sz val="10"/>
      <name val="Arial"/>
      <family val="2"/>
    </font>
    <font>
      <sz val="9"/>
      <color rgb="FF38761D"/>
      <name val="Arial"/>
      <family val="2"/>
    </font>
    <font>
      <sz val="9"/>
      <color rgb="FF38761D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u/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sz val="9"/>
      <color rgb="FF1155CC"/>
      <name val="Arial"/>
      <family val="2"/>
    </font>
    <font>
      <sz val="9"/>
      <color rgb="FF00000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i/>
      <sz val="9"/>
      <name val="Arial"/>
      <family val="2"/>
    </font>
    <font>
      <sz val="9"/>
      <color rgb="FF1155CC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sz val="12"/>
      <name val="Arial"/>
      <family val="2"/>
    </font>
    <font>
      <sz val="9"/>
      <color rgb="FF98000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color rgb="FF4A86E8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7"/>
      <name val="Arial"/>
      <family val="2"/>
    </font>
    <font>
      <u/>
      <sz val="18"/>
      <name val="Calibri"/>
      <family val="2"/>
    </font>
    <font>
      <sz val="10"/>
      <name val="Calibri"/>
      <family val="2"/>
    </font>
    <font>
      <u/>
      <sz val="16"/>
      <name val="Calibri"/>
      <family val="2"/>
    </font>
    <font>
      <u/>
      <sz val="16"/>
      <name val="Calibri"/>
      <family val="2"/>
    </font>
    <font>
      <sz val="8"/>
      <name val="Arial"/>
      <family val="2"/>
    </font>
    <font>
      <sz val="8"/>
      <name val="Calibri"/>
      <family val="2"/>
    </font>
    <font>
      <b/>
      <u/>
      <sz val="10"/>
      <name val="Avian"/>
    </font>
    <font>
      <b/>
      <sz val="10"/>
      <color rgb="FFC0504D"/>
      <name val="Calibri"/>
      <family val="2"/>
    </font>
    <font>
      <b/>
      <sz val="10"/>
      <name val="Calibri"/>
      <family val="2"/>
    </font>
    <font>
      <sz val="9"/>
      <name val="Calibri"/>
      <family val="2"/>
    </font>
    <font>
      <b/>
      <sz val="10"/>
      <name val="Avian"/>
    </font>
    <font>
      <b/>
      <sz val="10"/>
      <color rgb="FFC00000"/>
      <name val="Avian"/>
    </font>
    <font>
      <b/>
      <u/>
      <sz val="1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9"/>
      <color rgb="FFC00000"/>
      <name val="Calibri"/>
      <family val="2"/>
    </font>
    <font>
      <u/>
      <sz val="9"/>
      <name val="Arial"/>
      <family val="2"/>
    </font>
    <font>
      <sz val="10"/>
      <name val="Arial"/>
      <family val="2"/>
    </font>
    <font>
      <b/>
      <u/>
      <sz val="10"/>
      <name val="Calibri"/>
      <family val="2"/>
    </font>
    <font>
      <b/>
      <sz val="9"/>
      <color rgb="FF000000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9"/>
      <name val="Arial"/>
      <family val="2"/>
    </font>
    <font>
      <b/>
      <u/>
      <sz val="10"/>
      <name val="Calibri"/>
      <family val="2"/>
    </font>
    <font>
      <b/>
      <u/>
      <sz val="10"/>
      <name val="Calibri"/>
      <family val="2"/>
    </font>
    <font>
      <u/>
      <sz val="10"/>
      <name val="Calibri"/>
      <family val="2"/>
    </font>
    <font>
      <u/>
      <sz val="10"/>
      <name val="Calibri"/>
      <family val="2"/>
    </font>
    <font>
      <u/>
      <sz val="10"/>
      <name val="Calibri"/>
      <family val="2"/>
    </font>
    <font>
      <b/>
      <u/>
      <sz val="10"/>
      <name val="Calibri"/>
      <family val="2"/>
    </font>
    <font>
      <b/>
      <u/>
      <sz val="10"/>
      <name val="Calibri"/>
      <family val="2"/>
    </font>
    <font>
      <b/>
      <u/>
      <sz val="9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  <fill>
      <patternFill patternType="solid">
        <fgColor rgb="FF8DB3E2"/>
        <bgColor rgb="FF8DB3E2"/>
      </patternFill>
    </fill>
    <fill>
      <patternFill patternType="solid">
        <fgColor rgb="FFC6D9F0"/>
        <bgColor rgb="FFC6D9F0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theme="0"/>
        <bgColor rgb="FFBFBFBF"/>
      </patternFill>
    </fill>
  </fills>
  <borders count="12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FFFFFF"/>
      </left>
      <right style="thin">
        <color rgb="FFFFFFFF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/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/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3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4" fillId="0" borderId="1" xfId="0" applyFont="1" applyBorder="1"/>
    <xf numFmtId="0" fontId="5" fillId="0" borderId="1" xfId="0" applyFont="1" applyBorder="1"/>
    <xf numFmtId="0" fontId="5" fillId="0" borderId="0" xfId="0" applyFont="1"/>
    <xf numFmtId="0" fontId="6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164" fontId="7" fillId="0" borderId="1" xfId="0" applyNumberFormat="1" applyFont="1" applyBorder="1"/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9" fillId="0" borderId="1" xfId="0" applyFont="1" applyBorder="1"/>
    <xf numFmtId="0" fontId="9" fillId="0" borderId="0" xfId="0" applyFont="1"/>
    <xf numFmtId="0" fontId="10" fillId="0" borderId="1" xfId="0" applyFont="1" applyBorder="1"/>
    <xf numFmtId="2" fontId="7" fillId="0" borderId="1" xfId="0" applyNumberFormat="1" applyFont="1" applyBorder="1" applyAlignment="1">
      <alignment horizontal="center"/>
    </xf>
    <xf numFmtId="0" fontId="13" fillId="0" borderId="4" xfId="0" applyFont="1" applyBorder="1" applyAlignment="1">
      <alignment horizontal="left"/>
    </xf>
    <xf numFmtId="165" fontId="9" fillId="0" borderId="1" xfId="0" applyNumberFormat="1" applyFont="1" applyBorder="1" applyAlignment="1">
      <alignment horizontal="center"/>
    </xf>
    <xf numFmtId="166" fontId="9" fillId="0" borderId="1" xfId="0" applyNumberFormat="1" applyFont="1" applyBorder="1" applyAlignment="1">
      <alignment horizontal="center"/>
    </xf>
    <xf numFmtId="0" fontId="9" fillId="0" borderId="5" xfId="0" applyFont="1" applyBorder="1"/>
    <xf numFmtId="167" fontId="7" fillId="0" borderId="1" xfId="0" applyNumberFormat="1" applyFont="1" applyBorder="1" applyAlignment="1">
      <alignment horizontal="center"/>
    </xf>
    <xf numFmtId="165" fontId="14" fillId="0" borderId="1" xfId="0" applyNumberFormat="1" applyFont="1" applyBorder="1" applyAlignment="1">
      <alignment horizontal="left"/>
    </xf>
    <xf numFmtId="0" fontId="15" fillId="0" borderId="1" xfId="0" applyFont="1" applyBorder="1" applyAlignment="1">
      <alignment horizontal="center"/>
    </xf>
    <xf numFmtId="0" fontId="9" fillId="2" borderId="9" xfId="0" applyFont="1" applyFill="1" applyBorder="1" applyAlignment="1">
      <alignment horizontal="right"/>
    </xf>
    <xf numFmtId="167" fontId="9" fillId="0" borderId="1" xfId="0" applyNumberFormat="1" applyFont="1" applyBorder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168" fontId="7" fillId="0" borderId="12" xfId="0" applyNumberFormat="1" applyFont="1" applyBorder="1" applyAlignment="1">
      <alignment horizontal="center"/>
    </xf>
    <xf numFmtId="169" fontId="16" fillId="2" borderId="13" xfId="0" applyNumberFormat="1" applyFont="1" applyFill="1" applyBorder="1" applyAlignment="1">
      <alignment horizontal="center" vertical="center"/>
    </xf>
    <xf numFmtId="167" fontId="9" fillId="2" borderId="9" xfId="0" applyNumberFormat="1" applyFont="1" applyFill="1" applyBorder="1" applyAlignment="1">
      <alignment horizontal="left" vertical="center"/>
    </xf>
    <xf numFmtId="170" fontId="9" fillId="0" borderId="10" xfId="0" applyNumberFormat="1" applyFont="1" applyBorder="1" applyAlignment="1">
      <alignment horizontal="center"/>
    </xf>
    <xf numFmtId="168" fontId="17" fillId="0" borderId="14" xfId="0" applyNumberFormat="1" applyFont="1" applyBorder="1" applyAlignment="1">
      <alignment horizontal="center"/>
    </xf>
    <xf numFmtId="168" fontId="7" fillId="0" borderId="14" xfId="0" applyNumberFormat="1" applyFont="1" applyBorder="1" applyAlignment="1">
      <alignment horizontal="center"/>
    </xf>
    <xf numFmtId="171" fontId="16" fillId="2" borderId="13" xfId="0" applyNumberFormat="1" applyFont="1" applyFill="1" applyBorder="1" applyAlignment="1">
      <alignment horizontal="center" vertical="center"/>
    </xf>
    <xf numFmtId="0" fontId="9" fillId="0" borderId="4" xfId="0" applyFont="1" applyBorder="1"/>
    <xf numFmtId="0" fontId="9" fillId="0" borderId="10" xfId="0" applyFont="1" applyBorder="1"/>
    <xf numFmtId="0" fontId="16" fillId="0" borderId="15" xfId="0" applyFont="1" applyBorder="1" applyAlignment="1">
      <alignment horizontal="center"/>
    </xf>
    <xf numFmtId="0" fontId="9" fillId="0" borderId="8" xfId="0" applyFont="1" applyBorder="1"/>
    <xf numFmtId="0" fontId="9" fillId="0" borderId="4" xfId="0" applyFont="1" applyBorder="1" applyAlignment="1">
      <alignment horizontal="center"/>
    </xf>
    <xf numFmtId="4" fontId="9" fillId="0" borderId="4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0" fontId="9" fillId="0" borderId="16" xfId="0" applyFont="1" applyBorder="1"/>
    <xf numFmtId="0" fontId="9" fillId="0" borderId="16" xfId="0" applyFont="1" applyBorder="1" applyAlignment="1">
      <alignment horizontal="left"/>
    </xf>
    <xf numFmtId="0" fontId="20" fillId="0" borderId="16" xfId="0" applyFont="1" applyBorder="1" applyAlignment="1">
      <alignment horizontal="left"/>
    </xf>
    <xf numFmtId="0" fontId="9" fillId="2" borderId="19" xfId="0" applyFont="1" applyFill="1" applyBorder="1" applyAlignment="1">
      <alignment horizontal="right"/>
    </xf>
    <xf numFmtId="166" fontId="6" fillId="0" borderId="22" xfId="0" applyNumberFormat="1" applyFont="1" applyBorder="1" applyAlignment="1">
      <alignment horizontal="center"/>
    </xf>
    <xf numFmtId="0" fontId="9" fillId="0" borderId="10" xfId="0" applyFont="1" applyBorder="1" applyAlignment="1">
      <alignment horizontal="right"/>
    </xf>
    <xf numFmtId="166" fontId="7" fillId="0" borderId="14" xfId="0" applyNumberFormat="1" applyFont="1" applyBorder="1" applyAlignment="1">
      <alignment horizontal="center"/>
    </xf>
    <xf numFmtId="2" fontId="7" fillId="0" borderId="14" xfId="0" applyNumberFormat="1" applyFont="1" applyBorder="1" applyAlignment="1">
      <alignment horizontal="center"/>
    </xf>
    <xf numFmtId="166" fontId="21" fillId="0" borderId="22" xfId="0" applyNumberFormat="1" applyFont="1" applyBorder="1" applyAlignment="1">
      <alignment horizontal="center"/>
    </xf>
    <xf numFmtId="169" fontId="9" fillId="0" borderId="10" xfId="0" applyNumberFormat="1" applyFont="1" applyBorder="1" applyAlignment="1">
      <alignment horizontal="right"/>
    </xf>
    <xf numFmtId="0" fontId="9" fillId="0" borderId="23" xfId="0" applyFont="1" applyBorder="1"/>
    <xf numFmtId="0" fontId="9" fillId="0" borderId="23" xfId="0" applyFont="1" applyBorder="1" applyAlignment="1">
      <alignment horizontal="right"/>
    </xf>
    <xf numFmtId="2" fontId="9" fillId="0" borderId="23" xfId="0" applyNumberFormat="1" applyFont="1" applyBorder="1" applyAlignment="1">
      <alignment horizontal="center"/>
    </xf>
    <xf numFmtId="0" fontId="22" fillId="0" borderId="37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172" fontId="9" fillId="0" borderId="1" xfId="0" applyNumberFormat="1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41" xfId="0" applyFont="1" applyBorder="1" applyAlignment="1">
      <alignment horizontal="center"/>
    </xf>
    <xf numFmtId="173" fontId="16" fillId="0" borderId="42" xfId="0" applyNumberFormat="1" applyFont="1" applyBorder="1" applyAlignment="1">
      <alignment horizontal="center"/>
    </xf>
    <xf numFmtId="174" fontId="16" fillId="0" borderId="43" xfId="0" applyNumberFormat="1" applyFont="1" applyBorder="1" applyAlignment="1">
      <alignment horizontal="center"/>
    </xf>
    <xf numFmtId="173" fontId="16" fillId="0" borderId="44" xfId="0" applyNumberFormat="1" applyFont="1" applyBorder="1" applyAlignment="1">
      <alignment horizontal="center"/>
    </xf>
    <xf numFmtId="165" fontId="7" fillId="0" borderId="45" xfId="0" applyNumberFormat="1" applyFont="1" applyBorder="1" applyAlignment="1">
      <alignment horizontal="center"/>
    </xf>
    <xf numFmtId="165" fontId="7" fillId="0" borderId="46" xfId="0" applyNumberFormat="1" applyFont="1" applyBorder="1" applyAlignment="1">
      <alignment horizontal="center"/>
    </xf>
    <xf numFmtId="3" fontId="16" fillId="0" borderId="41" xfId="0" applyNumberFormat="1" applyFont="1" applyBorder="1" applyAlignment="1">
      <alignment horizontal="center"/>
    </xf>
    <xf numFmtId="0" fontId="16" fillId="0" borderId="49" xfId="0" applyFont="1" applyBorder="1" applyAlignment="1">
      <alignment horizontal="center"/>
    </xf>
    <xf numFmtId="0" fontId="16" fillId="0" borderId="50" xfId="0" applyFont="1" applyBorder="1" applyAlignment="1">
      <alignment horizontal="center"/>
    </xf>
    <xf numFmtId="173" fontId="16" fillId="0" borderId="51" xfId="0" applyNumberFormat="1" applyFont="1" applyBorder="1" applyAlignment="1">
      <alignment horizontal="center"/>
    </xf>
    <xf numFmtId="174" fontId="16" fillId="0" borderId="46" xfId="0" applyNumberFormat="1" applyFont="1" applyBorder="1" applyAlignment="1">
      <alignment horizontal="center"/>
    </xf>
    <xf numFmtId="173" fontId="16" fillId="0" borderId="52" xfId="0" applyNumberFormat="1" applyFont="1" applyBorder="1" applyAlignment="1">
      <alignment horizontal="center"/>
    </xf>
    <xf numFmtId="165" fontId="7" fillId="0" borderId="51" xfId="0" applyNumberFormat="1" applyFont="1" applyBorder="1" applyAlignment="1">
      <alignment horizontal="center"/>
    </xf>
    <xf numFmtId="165" fontId="7" fillId="0" borderId="53" xfId="0" applyNumberFormat="1" applyFont="1" applyBorder="1" applyAlignment="1">
      <alignment horizontal="center"/>
    </xf>
    <xf numFmtId="3" fontId="16" fillId="0" borderId="50" xfId="0" applyNumberFormat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6" fillId="0" borderId="56" xfId="0" applyFont="1" applyBorder="1" applyAlignment="1">
      <alignment horizontal="center"/>
    </xf>
    <xf numFmtId="0" fontId="16" fillId="0" borderId="57" xfId="0" applyFont="1" applyBorder="1" applyAlignment="1">
      <alignment horizontal="center"/>
    </xf>
    <xf numFmtId="173" fontId="16" fillId="0" borderId="37" xfId="0" applyNumberFormat="1" applyFont="1" applyBorder="1" applyAlignment="1">
      <alignment horizontal="center"/>
    </xf>
    <xf numFmtId="174" fontId="16" fillId="0" borderId="35" xfId="0" applyNumberFormat="1" applyFont="1" applyBorder="1" applyAlignment="1">
      <alignment horizontal="center"/>
    </xf>
    <xf numFmtId="173" fontId="16" fillId="0" borderId="58" xfId="0" applyNumberFormat="1" applyFont="1" applyBorder="1" applyAlignment="1">
      <alignment horizontal="center"/>
    </xf>
    <xf numFmtId="165" fontId="7" fillId="0" borderId="37" xfId="0" applyNumberFormat="1" applyFont="1" applyBorder="1" applyAlignment="1">
      <alignment horizontal="center"/>
    </xf>
    <xf numFmtId="165" fontId="7" fillId="0" borderId="38" xfId="0" applyNumberFormat="1" applyFont="1" applyBorder="1" applyAlignment="1">
      <alignment horizontal="center"/>
    </xf>
    <xf numFmtId="3" fontId="16" fillId="0" borderId="57" xfId="0" applyNumberFormat="1" applyFont="1" applyBorder="1" applyAlignment="1">
      <alignment horizontal="center"/>
    </xf>
    <xf numFmtId="0" fontId="9" fillId="0" borderId="4" xfId="0" applyFont="1" applyBorder="1" applyAlignment="1">
      <alignment horizontal="left"/>
    </xf>
    <xf numFmtId="0" fontId="9" fillId="0" borderId="4" xfId="0" applyFont="1" applyBorder="1" applyAlignment="1">
      <alignment horizontal="right"/>
    </xf>
    <xf numFmtId="0" fontId="23" fillId="0" borderId="16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0" fontId="22" fillId="0" borderId="37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4" fillId="0" borderId="38" xfId="0" applyFont="1" applyBorder="1" applyAlignment="1">
      <alignment horizontal="center" vertical="center" wrapText="1"/>
    </xf>
    <xf numFmtId="0" fontId="24" fillId="0" borderId="58" xfId="0" applyFont="1" applyBorder="1" applyAlignment="1">
      <alignment horizontal="center" vertical="center" wrapText="1"/>
    </xf>
    <xf numFmtId="0" fontId="22" fillId="0" borderId="59" xfId="0" applyFont="1" applyBorder="1" applyAlignment="1">
      <alignment horizontal="center" vertical="center"/>
    </xf>
    <xf numFmtId="0" fontId="7" fillId="0" borderId="60" xfId="0" applyFont="1" applyBorder="1" applyAlignment="1">
      <alignment horizontal="center"/>
    </xf>
    <xf numFmtId="175" fontId="16" fillId="0" borderId="45" xfId="0" applyNumberFormat="1" applyFont="1" applyBorder="1" applyAlignment="1">
      <alignment horizontal="center"/>
    </xf>
    <xf numFmtId="175" fontId="16" fillId="0" borderId="47" xfId="0" applyNumberFormat="1" applyFont="1" applyBorder="1" applyAlignment="1">
      <alignment horizontal="center"/>
    </xf>
    <xf numFmtId="176" fontId="16" fillId="2" borderId="45" xfId="0" applyNumberFormat="1" applyFont="1" applyFill="1" applyBorder="1" applyAlignment="1">
      <alignment horizontal="center"/>
    </xf>
    <xf numFmtId="172" fontId="16" fillId="2" borderId="46" xfId="0" applyNumberFormat="1" applyFont="1" applyFill="1" applyBorder="1" applyAlignment="1">
      <alignment horizontal="center"/>
    </xf>
    <xf numFmtId="3" fontId="16" fillId="2" borderId="46" xfId="0" applyNumberFormat="1" applyFont="1" applyFill="1" applyBorder="1" applyAlignment="1">
      <alignment horizontal="center"/>
    </xf>
    <xf numFmtId="3" fontId="16" fillId="2" borderId="61" xfId="0" applyNumberFormat="1" applyFont="1" applyFill="1" applyBorder="1" applyAlignment="1">
      <alignment horizontal="center"/>
    </xf>
    <xf numFmtId="176" fontId="16" fillId="2" borderId="62" xfId="0" applyNumberFormat="1" applyFont="1" applyFill="1" applyBorder="1" applyAlignment="1">
      <alignment horizontal="center"/>
    </xf>
    <xf numFmtId="3" fontId="16" fillId="0" borderId="61" xfId="0" applyNumberFormat="1" applyFont="1" applyBorder="1" applyAlignment="1">
      <alignment horizontal="center"/>
    </xf>
    <xf numFmtId="1" fontId="9" fillId="0" borderId="41" xfId="0" applyNumberFormat="1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16" fillId="0" borderId="60" xfId="0" applyFont="1" applyBorder="1" applyAlignment="1">
      <alignment horizontal="center"/>
    </xf>
    <xf numFmtId="175" fontId="16" fillId="0" borderId="51" xfId="0" applyNumberFormat="1" applyFont="1" applyBorder="1" applyAlignment="1">
      <alignment horizontal="center"/>
    </xf>
    <xf numFmtId="175" fontId="16" fillId="0" borderId="54" xfId="0" applyNumberFormat="1" applyFont="1" applyBorder="1" applyAlignment="1">
      <alignment horizontal="center"/>
    </xf>
    <xf numFmtId="176" fontId="16" fillId="2" borderId="51" xfId="0" applyNumberFormat="1" applyFont="1" applyFill="1" applyBorder="1" applyAlignment="1">
      <alignment horizontal="center"/>
    </xf>
    <xf numFmtId="172" fontId="16" fillId="2" borderId="53" xfId="0" applyNumberFormat="1" applyFont="1" applyFill="1" applyBorder="1" applyAlignment="1">
      <alignment horizontal="center"/>
    </xf>
    <xf numFmtId="3" fontId="16" fillId="2" borderId="53" xfId="0" applyNumberFormat="1" applyFont="1" applyFill="1" applyBorder="1" applyAlignment="1">
      <alignment horizontal="center"/>
    </xf>
    <xf numFmtId="3" fontId="16" fillId="2" borderId="52" xfId="0" applyNumberFormat="1" applyFont="1" applyFill="1" applyBorder="1" applyAlignment="1">
      <alignment horizontal="center"/>
    </xf>
    <xf numFmtId="176" fontId="16" fillId="2" borderId="63" xfId="0" applyNumberFormat="1" applyFont="1" applyFill="1" applyBorder="1" applyAlignment="1">
      <alignment horizontal="center"/>
    </xf>
    <xf numFmtId="3" fontId="16" fillId="0" borderId="52" xfId="0" applyNumberFormat="1" applyFont="1" applyBorder="1" applyAlignment="1">
      <alignment horizontal="center"/>
    </xf>
    <xf numFmtId="1" fontId="9" fillId="0" borderId="60" xfId="0" applyNumberFormat="1" applyFont="1" applyBorder="1" applyAlignment="1">
      <alignment horizontal="center"/>
    </xf>
    <xf numFmtId="0" fontId="9" fillId="0" borderId="60" xfId="0" applyFont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16" fillId="0" borderId="33" xfId="0" applyFont="1" applyBorder="1" applyAlignment="1">
      <alignment horizontal="center"/>
    </xf>
    <xf numFmtId="175" fontId="16" fillId="0" borderId="37" xfId="0" applyNumberFormat="1" applyFont="1" applyBorder="1" applyAlignment="1">
      <alignment horizontal="center"/>
    </xf>
    <xf numFmtId="175" fontId="16" fillId="0" borderId="39" xfId="0" applyNumberFormat="1" applyFont="1" applyBorder="1" applyAlignment="1">
      <alignment horizontal="center"/>
    </xf>
    <xf numFmtId="176" fontId="16" fillId="2" borderId="37" xfId="0" applyNumberFormat="1" applyFont="1" applyFill="1" applyBorder="1" applyAlignment="1">
      <alignment horizontal="center"/>
    </xf>
    <xf numFmtId="172" fontId="16" fillId="2" borderId="38" xfId="0" applyNumberFormat="1" applyFont="1" applyFill="1" applyBorder="1" applyAlignment="1">
      <alignment horizontal="center"/>
    </xf>
    <xf numFmtId="3" fontId="16" fillId="2" borderId="38" xfId="0" applyNumberFormat="1" applyFont="1" applyFill="1" applyBorder="1" applyAlignment="1">
      <alignment horizontal="center"/>
    </xf>
    <xf numFmtId="3" fontId="16" fillId="2" borderId="58" xfId="0" applyNumberFormat="1" applyFont="1" applyFill="1" applyBorder="1" applyAlignment="1">
      <alignment horizontal="center"/>
    </xf>
    <xf numFmtId="176" fontId="16" fillId="2" borderId="59" xfId="0" applyNumberFormat="1" applyFont="1" applyFill="1" applyBorder="1" applyAlignment="1">
      <alignment horizontal="center"/>
    </xf>
    <xf numFmtId="172" fontId="16" fillId="2" borderId="35" xfId="0" applyNumberFormat="1" applyFont="1" applyFill="1" applyBorder="1" applyAlignment="1">
      <alignment horizontal="center"/>
    </xf>
    <xf numFmtId="3" fontId="16" fillId="0" borderId="58" xfId="0" applyNumberFormat="1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4" fontId="9" fillId="0" borderId="4" xfId="0" applyNumberFormat="1" applyFont="1" applyBorder="1"/>
    <xf numFmtId="4" fontId="9" fillId="0" borderId="4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/>
    </xf>
    <xf numFmtId="4" fontId="2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right"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6" fillId="0" borderId="1" xfId="0" applyFont="1" applyBorder="1" applyAlignment="1">
      <alignment horizontal="left"/>
    </xf>
    <xf numFmtId="0" fontId="2" fillId="0" borderId="16" xfId="0" applyFont="1" applyBorder="1" applyAlignment="1">
      <alignment horizontal="center"/>
    </xf>
    <xf numFmtId="4" fontId="2" fillId="0" borderId="16" xfId="0" applyNumberFormat="1" applyFont="1" applyBorder="1" applyAlignment="1">
      <alignment horizontal="center"/>
    </xf>
    <xf numFmtId="4" fontId="27" fillId="0" borderId="16" xfId="0" applyNumberFormat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177" fontId="2" fillId="0" borderId="46" xfId="0" applyNumberFormat="1" applyFont="1" applyBorder="1" applyAlignment="1">
      <alignment horizontal="center"/>
    </xf>
    <xf numFmtId="0" fontId="2" fillId="0" borderId="46" xfId="0" applyFont="1" applyBorder="1" applyAlignment="1">
      <alignment horizontal="center"/>
    </xf>
    <xf numFmtId="4" fontId="2" fillId="0" borderId="46" xfId="0" applyNumberFormat="1" applyFont="1" applyBorder="1" applyAlignment="1">
      <alignment horizontal="center"/>
    </xf>
    <xf numFmtId="0" fontId="2" fillId="0" borderId="53" xfId="0" applyFont="1" applyBorder="1" applyAlignment="1">
      <alignment horizontal="center"/>
    </xf>
    <xf numFmtId="4" fontId="2" fillId="0" borderId="53" xfId="0" applyNumberFormat="1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12" fillId="0" borderId="1" xfId="0" applyFont="1" applyBorder="1"/>
    <xf numFmtId="0" fontId="28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/>
    </xf>
    <xf numFmtId="0" fontId="29" fillId="0" borderId="1" xfId="0" applyFont="1" applyBorder="1" applyAlignment="1">
      <alignment horizontal="center"/>
    </xf>
    <xf numFmtId="175" fontId="29" fillId="0" borderId="1" xfId="0" applyNumberFormat="1" applyFont="1" applyBorder="1" applyAlignment="1">
      <alignment horizontal="center"/>
    </xf>
    <xf numFmtId="178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9" fillId="0" borderId="4" xfId="0" applyFont="1" applyBorder="1" applyAlignment="1">
      <alignment horizontal="center"/>
    </xf>
    <xf numFmtId="4" fontId="30" fillId="0" borderId="0" xfId="0" applyNumberFormat="1" applyFont="1" applyAlignment="1">
      <alignment horizontal="center"/>
    </xf>
    <xf numFmtId="4" fontId="30" fillId="0" borderId="0" xfId="0" applyNumberFormat="1" applyFont="1" applyAlignment="1">
      <alignment horizontal="right"/>
    </xf>
    <xf numFmtId="0" fontId="31" fillId="0" borderId="1" xfId="0" applyFont="1" applyBorder="1" applyAlignment="1">
      <alignment horizontal="left"/>
    </xf>
    <xf numFmtId="0" fontId="32" fillId="0" borderId="10" xfId="0" applyFont="1" applyBorder="1"/>
    <xf numFmtId="4" fontId="32" fillId="0" borderId="10" xfId="0" applyNumberFormat="1" applyFont="1" applyBorder="1"/>
    <xf numFmtId="4" fontId="30" fillId="0" borderId="10" xfId="0" applyNumberFormat="1" applyFont="1" applyBorder="1" applyAlignment="1">
      <alignment horizontal="right"/>
    </xf>
    <xf numFmtId="4" fontId="30" fillId="0" borderId="10" xfId="0" applyNumberFormat="1" applyFont="1" applyBorder="1" applyAlignment="1">
      <alignment horizontal="center"/>
    </xf>
    <xf numFmtId="0" fontId="33" fillId="0" borderId="1" xfId="0" applyFont="1" applyBorder="1" applyAlignment="1">
      <alignment horizontal="left"/>
    </xf>
    <xf numFmtId="0" fontId="34" fillId="0" borderId="1" xfId="0" applyFont="1" applyBorder="1" applyAlignment="1">
      <alignment horizontal="left"/>
    </xf>
    <xf numFmtId="14" fontId="9" fillId="0" borderId="1" xfId="0" applyNumberFormat="1" applyFont="1" applyBorder="1" applyAlignment="1">
      <alignment horizontal="center"/>
    </xf>
    <xf numFmtId="0" fontId="35" fillId="3" borderId="9" xfId="0" applyFont="1" applyFill="1" applyBorder="1" applyAlignment="1">
      <alignment horizontal="left"/>
    </xf>
    <xf numFmtId="0" fontId="36" fillId="3" borderId="9" xfId="0" applyFont="1" applyFill="1" applyBorder="1"/>
    <xf numFmtId="0" fontId="36" fillId="3" borderId="75" xfId="0" applyFont="1" applyFill="1" applyBorder="1"/>
    <xf numFmtId="0" fontId="37" fillId="3" borderId="9" xfId="0" applyFont="1" applyFill="1" applyBorder="1"/>
    <xf numFmtId="0" fontId="36" fillId="3" borderId="76" xfId="0" applyFont="1" applyFill="1" applyBorder="1"/>
    <xf numFmtId="0" fontId="38" fillId="3" borderId="9" xfId="0" applyFont="1" applyFill="1" applyBorder="1"/>
    <xf numFmtId="0" fontId="36" fillId="3" borderId="77" xfId="0" applyFont="1" applyFill="1" applyBorder="1"/>
    <xf numFmtId="4" fontId="39" fillId="0" borderId="1" xfId="0" applyNumberFormat="1" applyFont="1" applyBorder="1" applyAlignment="1">
      <alignment horizontal="center"/>
    </xf>
    <xf numFmtId="0" fontId="40" fillId="3" borderId="9" xfId="0" applyFont="1" applyFill="1" applyBorder="1" applyAlignment="1">
      <alignment horizontal="left"/>
    </xf>
    <xf numFmtId="0" fontId="41" fillId="3" borderId="77" xfId="0" applyFont="1" applyFill="1" applyBorder="1"/>
    <xf numFmtId="0" fontId="4" fillId="3" borderId="9" xfId="0" applyFont="1" applyFill="1" applyBorder="1"/>
    <xf numFmtId="0" fontId="36" fillId="4" borderId="9" xfId="0" applyFont="1" applyFill="1" applyBorder="1"/>
    <xf numFmtId="0" fontId="36" fillId="4" borderId="9" xfId="0" applyFont="1" applyFill="1" applyBorder="1" applyAlignment="1">
      <alignment horizontal="right"/>
    </xf>
    <xf numFmtId="4" fontId="36" fillId="5" borderId="9" xfId="0" applyNumberFormat="1" applyFont="1" applyFill="1" applyBorder="1"/>
    <xf numFmtId="0" fontId="36" fillId="4" borderId="75" xfId="0" applyFont="1" applyFill="1" applyBorder="1"/>
    <xf numFmtId="0" fontId="36" fillId="4" borderId="76" xfId="0" applyFont="1" applyFill="1" applyBorder="1"/>
    <xf numFmtId="0" fontId="4" fillId="3" borderId="77" xfId="0" applyFont="1" applyFill="1" applyBorder="1"/>
    <xf numFmtId="0" fontId="36" fillId="4" borderId="77" xfId="0" applyFont="1" applyFill="1" applyBorder="1"/>
    <xf numFmtId="0" fontId="22" fillId="0" borderId="78" xfId="0" applyFont="1" applyBorder="1" applyAlignment="1">
      <alignment horizontal="left"/>
    </xf>
    <xf numFmtId="175" fontId="36" fillId="5" borderId="9" xfId="0" applyNumberFormat="1" applyFont="1" applyFill="1" applyBorder="1"/>
    <xf numFmtId="179" fontId="36" fillId="5" borderId="9" xfId="0" applyNumberFormat="1" applyFont="1" applyFill="1" applyBorder="1"/>
    <xf numFmtId="165" fontId="36" fillId="5" borderId="9" xfId="0" applyNumberFormat="1" applyFont="1" applyFill="1" applyBorder="1"/>
    <xf numFmtId="174" fontId="42" fillId="5" borderId="81" xfId="0" applyNumberFormat="1" applyFont="1" applyFill="1" applyBorder="1" applyAlignment="1">
      <alignment horizontal="center"/>
    </xf>
    <xf numFmtId="0" fontId="36" fillId="4" borderId="81" xfId="0" applyFont="1" applyFill="1" applyBorder="1"/>
    <xf numFmtId="0" fontId="36" fillId="4" borderId="82" xfId="0" applyFont="1" applyFill="1" applyBorder="1"/>
    <xf numFmtId="0" fontId="36" fillId="4" borderId="83" xfId="0" applyFont="1" applyFill="1" applyBorder="1"/>
    <xf numFmtId="0" fontId="36" fillId="4" borderId="53" xfId="0" applyFont="1" applyFill="1" applyBorder="1" applyAlignment="1">
      <alignment horizontal="center"/>
    </xf>
    <xf numFmtId="0" fontId="43" fillId="4" borderId="9" xfId="0" applyFont="1" applyFill="1" applyBorder="1" applyAlignment="1">
      <alignment horizontal="center"/>
    </xf>
    <xf numFmtId="176" fontId="36" fillId="5" borderId="9" xfId="0" applyNumberFormat="1" applyFont="1" applyFill="1" applyBorder="1"/>
    <xf numFmtId="0" fontId="44" fillId="4" borderId="9" xfId="0" applyFont="1" applyFill="1" applyBorder="1" applyAlignment="1">
      <alignment horizontal="right"/>
    </xf>
    <xf numFmtId="0" fontId="44" fillId="4" borderId="75" xfId="0" applyFont="1" applyFill="1" applyBorder="1" applyAlignment="1">
      <alignment horizontal="right"/>
    </xf>
    <xf numFmtId="0" fontId="36" fillId="4" borderId="84" xfId="0" applyFont="1" applyFill="1" applyBorder="1" applyAlignment="1">
      <alignment horizontal="center"/>
    </xf>
    <xf numFmtId="2" fontId="36" fillId="6" borderId="53" xfId="0" applyNumberFormat="1" applyFont="1" applyFill="1" applyBorder="1" applyAlignment="1">
      <alignment horizontal="center"/>
    </xf>
    <xf numFmtId="0" fontId="36" fillId="4" borderId="9" xfId="0" applyFont="1" applyFill="1" applyBorder="1" applyAlignment="1">
      <alignment horizontal="center"/>
    </xf>
    <xf numFmtId="175" fontId="7" fillId="0" borderId="12" xfId="0" applyNumberFormat="1" applyFont="1" applyBorder="1" applyAlignment="1">
      <alignment horizontal="center"/>
    </xf>
    <xf numFmtId="174" fontId="7" fillId="0" borderId="12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0" fontId="36" fillId="3" borderId="9" xfId="0" applyFont="1" applyFill="1" applyBorder="1" applyAlignment="1">
      <alignment horizontal="right"/>
    </xf>
    <xf numFmtId="3" fontId="36" fillId="5" borderId="9" xfId="0" applyNumberFormat="1" applyFont="1" applyFill="1" applyBorder="1"/>
    <xf numFmtId="2" fontId="36" fillId="4" borderId="53" xfId="0" applyNumberFormat="1" applyFont="1" applyFill="1" applyBorder="1" applyAlignment="1">
      <alignment horizontal="center"/>
    </xf>
    <xf numFmtId="174" fontId="7" fillId="0" borderId="85" xfId="0" applyNumberFormat="1" applyFont="1" applyBorder="1" applyAlignment="1">
      <alignment horizontal="center"/>
    </xf>
    <xf numFmtId="179" fontId="7" fillId="0" borderId="85" xfId="0" applyNumberFormat="1" applyFont="1" applyBorder="1" applyAlignment="1">
      <alignment horizontal="center"/>
    </xf>
    <xf numFmtId="165" fontId="7" fillId="0" borderId="85" xfId="0" applyNumberFormat="1" applyFont="1" applyBorder="1" applyAlignment="1">
      <alignment horizontal="center"/>
    </xf>
    <xf numFmtId="174" fontId="36" fillId="5" borderId="9" xfId="0" applyNumberFormat="1" applyFont="1" applyFill="1" applyBorder="1"/>
    <xf numFmtId="166" fontId="36" fillId="5" borderId="9" xfId="0" applyNumberFormat="1" applyFont="1" applyFill="1" applyBorder="1"/>
    <xf numFmtId="175" fontId="7" fillId="0" borderId="85" xfId="0" applyNumberFormat="1" applyFont="1" applyBorder="1" applyAlignment="1">
      <alignment horizontal="center"/>
    </xf>
    <xf numFmtId="176" fontId="7" fillId="0" borderId="85" xfId="0" applyNumberFormat="1" applyFont="1" applyBorder="1" applyAlignment="1">
      <alignment horizontal="center"/>
    </xf>
    <xf numFmtId="3" fontId="7" fillId="0" borderId="85" xfId="0" applyNumberFormat="1" applyFont="1" applyBorder="1" applyAlignment="1">
      <alignment horizontal="center"/>
    </xf>
    <xf numFmtId="166" fontId="7" fillId="0" borderId="85" xfId="0" applyNumberFormat="1" applyFont="1" applyBorder="1" applyAlignment="1">
      <alignment horizontal="center"/>
    </xf>
    <xf numFmtId="0" fontId="43" fillId="4" borderId="9" xfId="0" applyFont="1" applyFill="1" applyBorder="1" applyAlignment="1">
      <alignment horizontal="right"/>
    </xf>
    <xf numFmtId="0" fontId="43" fillId="4" borderId="53" xfId="0" applyFont="1" applyFill="1" applyBorder="1" applyAlignment="1">
      <alignment horizontal="right"/>
    </xf>
    <xf numFmtId="0" fontId="43" fillId="4" borderId="53" xfId="0" applyFont="1" applyFill="1" applyBorder="1" applyAlignment="1">
      <alignment horizontal="center"/>
    </xf>
    <xf numFmtId="169" fontId="36" fillId="5" borderId="9" xfId="0" applyNumberFormat="1" applyFont="1" applyFill="1" applyBorder="1"/>
    <xf numFmtId="171" fontId="36" fillId="5" borderId="9" xfId="0" applyNumberFormat="1" applyFont="1" applyFill="1" applyBorder="1"/>
    <xf numFmtId="180" fontId="7" fillId="0" borderId="85" xfId="0" applyNumberFormat="1" applyFont="1" applyBorder="1" applyAlignment="1">
      <alignment horizontal="center"/>
    </xf>
    <xf numFmtId="0" fontId="7" fillId="0" borderId="85" xfId="0" applyFont="1" applyBorder="1" applyAlignment="1">
      <alignment horizontal="center"/>
    </xf>
    <xf numFmtId="3" fontId="9" fillId="7" borderId="53" xfId="0" applyNumberFormat="1" applyFont="1" applyFill="1" applyBorder="1" applyAlignment="1">
      <alignment horizontal="right"/>
    </xf>
    <xf numFmtId="0" fontId="36" fillId="4" borderId="75" xfId="0" applyFont="1" applyFill="1" applyBorder="1" applyAlignment="1">
      <alignment horizontal="center"/>
    </xf>
    <xf numFmtId="0" fontId="45" fillId="8" borderId="86" xfId="0" applyFont="1" applyFill="1" applyBorder="1"/>
    <xf numFmtId="0" fontId="4" fillId="8" borderId="87" xfId="0" applyFont="1" applyFill="1" applyBorder="1"/>
    <xf numFmtId="0" fontId="4" fillId="9" borderId="88" xfId="0" applyFont="1" applyFill="1" applyBorder="1"/>
    <xf numFmtId="0" fontId="4" fillId="9" borderId="89" xfId="0" applyFont="1" applyFill="1" applyBorder="1" applyAlignment="1">
      <alignment horizontal="right"/>
    </xf>
    <xf numFmtId="1" fontId="46" fillId="9" borderId="90" xfId="0" applyNumberFormat="1" applyFont="1" applyFill="1" applyBorder="1" applyAlignment="1">
      <alignment horizontal="left"/>
    </xf>
    <xf numFmtId="169" fontId="7" fillId="0" borderId="85" xfId="0" applyNumberFormat="1" applyFont="1" applyBorder="1" applyAlignment="1">
      <alignment horizontal="center"/>
    </xf>
    <xf numFmtId="0" fontId="47" fillId="4" borderId="9" xfId="0" applyFont="1" applyFill="1" applyBorder="1"/>
    <xf numFmtId="180" fontId="42" fillId="5" borderId="91" xfId="0" applyNumberFormat="1" applyFont="1" applyFill="1" applyBorder="1" applyAlignment="1">
      <alignment horizontal="center"/>
    </xf>
    <xf numFmtId="0" fontId="36" fillId="4" borderId="81" xfId="0" applyFont="1" applyFill="1" applyBorder="1" applyAlignment="1">
      <alignment horizontal="left"/>
    </xf>
    <xf numFmtId="0" fontId="36" fillId="3" borderId="82" xfId="0" applyFont="1" applyFill="1" applyBorder="1"/>
    <xf numFmtId="0" fontId="4" fillId="8" borderId="92" xfId="0" applyFont="1" applyFill="1" applyBorder="1"/>
    <xf numFmtId="0" fontId="4" fillId="8" borderId="9" xfId="0" applyFont="1" applyFill="1" applyBorder="1"/>
    <xf numFmtId="0" fontId="4" fillId="8" borderId="93" xfId="0" applyFont="1" applyFill="1" applyBorder="1"/>
    <xf numFmtId="0" fontId="36" fillId="3" borderId="84" xfId="0" applyFont="1" applyFill="1" applyBorder="1" applyAlignment="1">
      <alignment horizontal="center"/>
    </xf>
    <xf numFmtId="2" fontId="36" fillId="4" borderId="9" xfId="0" applyNumberFormat="1" applyFont="1" applyFill="1" applyBorder="1"/>
    <xf numFmtId="2" fontId="36" fillId="3" borderId="9" xfId="0" applyNumberFormat="1" applyFont="1" applyFill="1" applyBorder="1"/>
    <xf numFmtId="0" fontId="36" fillId="3" borderId="53" xfId="0" applyFont="1" applyFill="1" applyBorder="1" applyAlignment="1">
      <alignment horizontal="center"/>
    </xf>
    <xf numFmtId="0" fontId="48" fillId="8" borderId="53" xfId="0" applyFont="1" applyFill="1" applyBorder="1" applyAlignment="1">
      <alignment horizontal="center"/>
    </xf>
    <xf numFmtId="0" fontId="9" fillId="0" borderId="98" xfId="0" applyFont="1" applyBorder="1"/>
    <xf numFmtId="0" fontId="9" fillId="0" borderId="99" xfId="0" applyFont="1" applyBorder="1"/>
    <xf numFmtId="0" fontId="49" fillId="8" borderId="51" xfId="0" applyFont="1" applyFill="1" applyBorder="1" applyAlignment="1">
      <alignment horizontal="right"/>
    </xf>
    <xf numFmtId="181" fontId="49" fillId="8" borderId="53" xfId="0" applyNumberFormat="1" applyFont="1" applyFill="1" applyBorder="1" applyAlignment="1">
      <alignment horizontal="center"/>
    </xf>
    <xf numFmtId="0" fontId="49" fillId="8" borderId="53" xfId="0" applyFont="1" applyFill="1" applyBorder="1" applyAlignment="1">
      <alignment horizontal="right"/>
    </xf>
    <xf numFmtId="1" fontId="50" fillId="8" borderId="53" xfId="0" applyNumberFormat="1" applyFont="1" applyFill="1" applyBorder="1" applyAlignment="1">
      <alignment horizontal="center"/>
    </xf>
    <xf numFmtId="1" fontId="49" fillId="8" borderId="100" xfId="0" applyNumberFormat="1" applyFont="1" applyFill="1" applyBorder="1" applyAlignment="1">
      <alignment horizontal="left"/>
    </xf>
    <xf numFmtId="0" fontId="9" fillId="8" borderId="101" xfId="0" applyFont="1" applyFill="1" applyBorder="1"/>
    <xf numFmtId="0" fontId="9" fillId="8" borderId="102" xfId="0" applyFont="1" applyFill="1" applyBorder="1"/>
    <xf numFmtId="0" fontId="43" fillId="4" borderId="9" xfId="0" applyFont="1" applyFill="1" applyBorder="1"/>
    <xf numFmtId="182" fontId="49" fillId="8" borderId="53" xfId="0" applyNumberFormat="1" applyFont="1" applyFill="1" applyBorder="1" applyAlignment="1">
      <alignment horizontal="center"/>
    </xf>
    <xf numFmtId="1" fontId="49" fillId="8" borderId="101" xfId="0" applyNumberFormat="1" applyFont="1" applyFill="1" applyBorder="1"/>
    <xf numFmtId="1" fontId="49" fillId="8" borderId="102" xfId="0" applyNumberFormat="1" applyFont="1" applyFill="1" applyBorder="1"/>
    <xf numFmtId="0" fontId="51" fillId="0" borderId="1" xfId="0" applyFont="1" applyBorder="1"/>
    <xf numFmtId="0" fontId="52" fillId="0" borderId="1" xfId="0" applyFont="1" applyBorder="1"/>
    <xf numFmtId="1" fontId="36" fillId="4" borderId="9" xfId="0" applyNumberFormat="1" applyFont="1" applyFill="1" applyBorder="1"/>
    <xf numFmtId="0" fontId="36" fillId="4" borderId="9" xfId="0" applyFont="1" applyFill="1" applyBorder="1" applyAlignment="1">
      <alignment horizontal="left"/>
    </xf>
    <xf numFmtId="0" fontId="36" fillId="8" borderId="51" xfId="0" applyFont="1" applyFill="1" applyBorder="1" applyAlignment="1">
      <alignment horizontal="right"/>
    </xf>
    <xf numFmtId="183" fontId="36" fillId="8" borderId="53" xfId="0" applyNumberFormat="1" applyFont="1" applyFill="1" applyBorder="1" applyAlignment="1">
      <alignment horizontal="center"/>
    </xf>
    <xf numFmtId="0" fontId="36" fillId="8" borderId="53" xfId="0" applyFont="1" applyFill="1" applyBorder="1" applyAlignment="1">
      <alignment horizontal="right"/>
    </xf>
    <xf numFmtId="0" fontId="44" fillId="8" borderId="100" xfId="0" applyFont="1" applyFill="1" applyBorder="1" applyAlignment="1">
      <alignment horizontal="left"/>
    </xf>
    <xf numFmtId="0" fontId="4" fillId="8" borderId="101" xfId="0" applyFont="1" applyFill="1" applyBorder="1"/>
    <xf numFmtId="0" fontId="4" fillId="8" borderId="102" xfId="0" applyFont="1" applyFill="1" applyBorder="1"/>
    <xf numFmtId="175" fontId="9" fillId="0" borderId="1" xfId="0" applyNumberFormat="1" applyFont="1" applyBorder="1" applyAlignment="1">
      <alignment horizontal="center"/>
    </xf>
    <xf numFmtId="184" fontId="36" fillId="8" borderId="53" xfId="0" applyNumberFormat="1" applyFont="1" applyFill="1" applyBorder="1" applyAlignment="1">
      <alignment horizontal="center"/>
    </xf>
    <xf numFmtId="185" fontId="9" fillId="0" borderId="1" xfId="0" applyNumberFormat="1" applyFont="1" applyBorder="1" applyAlignment="1">
      <alignment horizontal="center"/>
    </xf>
    <xf numFmtId="0" fontId="44" fillId="4" borderId="9" xfId="0" applyFont="1" applyFill="1" applyBorder="1"/>
    <xf numFmtId="0" fontId="9" fillId="7" borderId="53" xfId="0" applyFont="1" applyFill="1" applyBorder="1" applyAlignment="1">
      <alignment horizontal="right"/>
    </xf>
    <xf numFmtId="0" fontId="44" fillId="4" borderId="53" xfId="0" applyFont="1" applyFill="1" applyBorder="1"/>
    <xf numFmtId="166" fontId="44" fillId="4" borderId="53" xfId="0" applyNumberFormat="1" applyFont="1" applyFill="1" applyBorder="1" applyAlignment="1">
      <alignment horizontal="center"/>
    </xf>
    <xf numFmtId="168" fontId="44" fillId="4" borderId="53" xfId="0" applyNumberFormat="1" applyFont="1" applyFill="1" applyBorder="1" applyAlignment="1">
      <alignment horizontal="center"/>
    </xf>
    <xf numFmtId="186" fontId="9" fillId="0" borderId="1" xfId="0" applyNumberFormat="1" applyFont="1" applyBorder="1" applyAlignment="1">
      <alignment horizontal="left"/>
    </xf>
    <xf numFmtId="0" fontId="48" fillId="8" borderId="51" xfId="0" applyFont="1" applyFill="1" applyBorder="1" applyAlignment="1">
      <alignment horizontal="center"/>
    </xf>
    <xf numFmtId="0" fontId="48" fillId="8" borderId="100" xfId="0" applyFont="1" applyFill="1" applyBorder="1" applyAlignment="1">
      <alignment horizontal="center"/>
    </xf>
    <xf numFmtId="0" fontId="9" fillId="8" borderId="101" xfId="0" applyFont="1" applyFill="1" applyBorder="1" applyAlignment="1">
      <alignment horizontal="center"/>
    </xf>
    <xf numFmtId="0" fontId="9" fillId="8" borderId="102" xfId="0" applyFont="1" applyFill="1" applyBorder="1" applyAlignment="1">
      <alignment horizontal="center"/>
    </xf>
    <xf numFmtId="1" fontId="36" fillId="4" borderId="53" xfId="0" applyNumberFormat="1" applyFont="1" applyFill="1" applyBorder="1" applyAlignment="1">
      <alignment horizontal="center"/>
    </xf>
    <xf numFmtId="187" fontId="9" fillId="0" borderId="1" xfId="0" applyNumberFormat="1" applyFont="1" applyBorder="1" applyAlignment="1">
      <alignment horizontal="left"/>
    </xf>
    <xf numFmtId="0" fontId="53" fillId="4" borderId="9" xfId="0" applyFont="1" applyFill="1" applyBorder="1" applyAlignment="1">
      <alignment horizontal="left"/>
    </xf>
    <xf numFmtId="186" fontId="9" fillId="0" borderId="1" xfId="0" applyNumberFormat="1" applyFont="1" applyBorder="1" applyAlignment="1">
      <alignment horizontal="right"/>
    </xf>
    <xf numFmtId="0" fontId="36" fillId="4" borderId="103" xfId="0" applyFont="1" applyFill="1" applyBorder="1" applyAlignment="1">
      <alignment horizontal="center"/>
    </xf>
    <xf numFmtId="2" fontId="36" fillId="4" borderId="104" xfId="0" applyNumberFormat="1" applyFont="1" applyFill="1" applyBorder="1" applyAlignment="1">
      <alignment horizontal="center"/>
    </xf>
    <xf numFmtId="188" fontId="9" fillId="0" borderId="1" xfId="0" applyNumberFormat="1" applyFont="1" applyBorder="1" applyAlignment="1">
      <alignment horizontal="right"/>
    </xf>
    <xf numFmtId="2" fontId="36" fillId="4" borderId="9" xfId="0" applyNumberFormat="1" applyFont="1" applyFill="1" applyBorder="1" applyAlignment="1">
      <alignment horizontal="center"/>
    </xf>
    <xf numFmtId="0" fontId="36" fillId="4" borderId="51" xfId="0" applyFont="1" applyFill="1" applyBorder="1" applyAlignment="1">
      <alignment horizontal="center"/>
    </xf>
    <xf numFmtId="2" fontId="36" fillId="4" borderId="52" xfId="0" applyNumberFormat="1" applyFont="1" applyFill="1" applyBorder="1" applyAlignment="1">
      <alignment horizontal="center"/>
    </xf>
    <xf numFmtId="0" fontId="36" fillId="4" borderId="76" xfId="0" applyFont="1" applyFill="1" applyBorder="1" applyAlignment="1">
      <alignment horizontal="center"/>
    </xf>
    <xf numFmtId="0" fontId="49" fillId="8" borderId="37" xfId="0" applyFont="1" applyFill="1" applyBorder="1" applyAlignment="1">
      <alignment horizontal="right"/>
    </xf>
    <xf numFmtId="182" fontId="49" fillId="8" borderId="38" xfId="0" applyNumberFormat="1" applyFont="1" applyFill="1" applyBorder="1" applyAlignment="1">
      <alignment horizontal="center"/>
    </xf>
    <xf numFmtId="0" fontId="49" fillId="8" borderId="38" xfId="0" applyFont="1" applyFill="1" applyBorder="1" applyAlignment="1">
      <alignment horizontal="right"/>
    </xf>
    <xf numFmtId="1" fontId="50" fillId="8" borderId="38" xfId="0" applyNumberFormat="1" applyFont="1" applyFill="1" applyBorder="1" applyAlignment="1">
      <alignment horizontal="center"/>
    </xf>
    <xf numFmtId="1" fontId="49" fillId="8" borderId="105" xfId="0" applyNumberFormat="1" applyFont="1" applyFill="1" applyBorder="1" applyAlignment="1">
      <alignment horizontal="left"/>
    </xf>
    <xf numFmtId="0" fontId="9" fillId="8" borderId="106" xfId="0" applyFont="1" applyFill="1" applyBorder="1" applyAlignment="1">
      <alignment horizontal="center"/>
    </xf>
    <xf numFmtId="0" fontId="9" fillId="8" borderId="107" xfId="0" applyFont="1" applyFill="1" applyBorder="1" applyAlignment="1">
      <alignment horizontal="center"/>
    </xf>
    <xf numFmtId="0" fontId="36" fillId="4" borderId="19" xfId="0" applyFont="1" applyFill="1" applyBorder="1" applyAlignment="1">
      <alignment horizontal="center"/>
    </xf>
    <xf numFmtId="0" fontId="36" fillId="4" borderId="108" xfId="0" applyFont="1" applyFill="1" applyBorder="1" applyAlignment="1">
      <alignment horizontal="right"/>
    </xf>
    <xf numFmtId="1" fontId="36" fillId="4" borderId="109" xfId="0" applyNumberFormat="1" applyFont="1" applyFill="1" applyBorder="1" applyAlignment="1">
      <alignment horizontal="center"/>
    </xf>
    <xf numFmtId="0" fontId="36" fillId="4" borderId="110" xfId="0" applyFont="1" applyFill="1" applyBorder="1" applyAlignment="1">
      <alignment horizontal="center"/>
    </xf>
    <xf numFmtId="0" fontId="36" fillId="4" borderId="77" xfId="0" applyFont="1" applyFill="1" applyBorder="1" applyAlignment="1">
      <alignment horizontal="center"/>
    </xf>
    <xf numFmtId="0" fontId="22" fillId="0" borderId="1" xfId="0" applyFont="1" applyBorder="1" applyAlignment="1">
      <alignment horizontal="right"/>
    </xf>
    <xf numFmtId="189" fontId="22" fillId="0" borderId="1" xfId="0" applyNumberFormat="1" applyFont="1" applyBorder="1" applyAlignment="1">
      <alignment horizontal="center"/>
    </xf>
    <xf numFmtId="2" fontId="43" fillId="4" borderId="9" xfId="0" applyNumberFormat="1" applyFont="1" applyFill="1" applyBorder="1" applyAlignment="1">
      <alignment horizontal="center"/>
    </xf>
    <xf numFmtId="0" fontId="36" fillId="4" borderId="75" xfId="0" applyFont="1" applyFill="1" applyBorder="1" applyAlignment="1">
      <alignment horizontal="right"/>
    </xf>
    <xf numFmtId="1" fontId="36" fillId="4" borderId="9" xfId="0" applyNumberFormat="1" applyFont="1" applyFill="1" applyBorder="1" applyAlignment="1">
      <alignment horizontal="center"/>
    </xf>
    <xf numFmtId="0" fontId="43" fillId="4" borderId="75" xfId="0" applyFont="1" applyFill="1" applyBorder="1" applyAlignment="1">
      <alignment horizontal="center"/>
    </xf>
    <xf numFmtId="0" fontId="36" fillId="4" borderId="111" xfId="0" applyFont="1" applyFill="1" applyBorder="1" applyAlignment="1">
      <alignment horizontal="right"/>
    </xf>
    <xf numFmtId="1" fontId="36" fillId="4" borderId="112" xfId="0" applyNumberFormat="1" applyFont="1" applyFill="1" applyBorder="1" applyAlignment="1">
      <alignment horizontal="center"/>
    </xf>
    <xf numFmtId="0" fontId="36" fillId="4" borderId="113" xfId="0" applyFont="1" applyFill="1" applyBorder="1" applyAlignment="1">
      <alignment horizontal="center"/>
    </xf>
    <xf numFmtId="0" fontId="17" fillId="0" borderId="1" xfId="0" applyFont="1" applyBorder="1" applyAlignment="1">
      <alignment horizontal="right"/>
    </xf>
    <xf numFmtId="181" fontId="17" fillId="0" borderId="1" xfId="0" applyNumberFormat="1" applyFont="1" applyBorder="1" applyAlignment="1">
      <alignment horizontal="left"/>
    </xf>
    <xf numFmtId="2" fontId="36" fillId="4" borderId="9" xfId="0" applyNumberFormat="1" applyFont="1" applyFill="1" applyBorder="1" applyAlignment="1">
      <alignment horizontal="right"/>
    </xf>
    <xf numFmtId="167" fontId="36" fillId="4" borderId="9" xfId="0" applyNumberFormat="1" applyFont="1" applyFill="1" applyBorder="1" applyAlignment="1">
      <alignment horizontal="center"/>
    </xf>
    <xf numFmtId="0" fontId="36" fillId="4" borderId="37" xfId="0" applyFont="1" applyFill="1" applyBorder="1" applyAlignment="1">
      <alignment horizontal="center"/>
    </xf>
    <xf numFmtId="2" fontId="36" fillId="4" borderId="58" xfId="0" applyNumberFormat="1" applyFont="1" applyFill="1" applyBorder="1" applyAlignment="1">
      <alignment horizontal="center"/>
    </xf>
    <xf numFmtId="182" fontId="17" fillId="0" borderId="1" xfId="0" applyNumberFormat="1" applyFont="1" applyBorder="1" applyAlignment="1">
      <alignment horizontal="left"/>
    </xf>
    <xf numFmtId="174" fontId="36" fillId="4" borderId="9" xfId="0" applyNumberFormat="1" applyFont="1" applyFill="1" applyBorder="1" applyAlignment="1">
      <alignment horizontal="center"/>
    </xf>
    <xf numFmtId="2" fontId="36" fillId="4" borderId="81" xfId="0" applyNumberFormat="1" applyFont="1" applyFill="1" applyBorder="1" applyAlignment="1">
      <alignment horizontal="right"/>
    </xf>
    <xf numFmtId="1" fontId="36" fillId="4" borderId="82" xfId="0" applyNumberFormat="1" applyFont="1" applyFill="1" applyBorder="1" applyAlignment="1">
      <alignment horizontal="center"/>
    </xf>
    <xf numFmtId="0" fontId="36" fillId="4" borderId="83" xfId="0" applyFont="1" applyFill="1" applyBorder="1" applyAlignment="1">
      <alignment horizontal="right"/>
    </xf>
    <xf numFmtId="0" fontId="55" fillId="0" borderId="23" xfId="0" applyFont="1" applyBorder="1" applyAlignment="1">
      <alignment horizontal="left"/>
    </xf>
    <xf numFmtId="0" fontId="17" fillId="0" borderId="23" xfId="0" applyFont="1" applyBorder="1"/>
    <xf numFmtId="0" fontId="56" fillId="0" borderId="23" xfId="0" applyFont="1" applyBorder="1"/>
    <xf numFmtId="0" fontId="57" fillId="0" borderId="1" xfId="0" applyFont="1" applyBorder="1" applyAlignment="1">
      <alignment horizontal="left"/>
    </xf>
    <xf numFmtId="0" fontId="17" fillId="0" borderId="1" xfId="0" applyFont="1" applyBorder="1"/>
    <xf numFmtId="0" fontId="58" fillId="0" borderId="1" xfId="0" applyFont="1" applyBorder="1"/>
    <xf numFmtId="0" fontId="9" fillId="0" borderId="10" xfId="0" applyFont="1" applyBorder="1" applyAlignment="1">
      <alignment horizontal="left"/>
    </xf>
    <xf numFmtId="0" fontId="43" fillId="3" borderId="9" xfId="0" applyFont="1" applyFill="1" applyBorder="1"/>
    <xf numFmtId="0" fontId="43" fillId="4" borderId="111" xfId="0" applyFont="1" applyFill="1" applyBorder="1" applyAlignment="1">
      <alignment horizontal="left"/>
    </xf>
    <xf numFmtId="0" fontId="36" fillId="4" borderId="112" xfId="0" applyFont="1" applyFill="1" applyBorder="1" applyAlignment="1">
      <alignment horizontal="center"/>
    </xf>
    <xf numFmtId="0" fontId="43" fillId="4" borderId="112" xfId="0" applyFont="1" applyFill="1" applyBorder="1" applyAlignment="1">
      <alignment horizontal="center"/>
    </xf>
    <xf numFmtId="0" fontId="36" fillId="4" borderId="114" xfId="0" applyFont="1" applyFill="1" applyBorder="1" applyAlignment="1">
      <alignment horizontal="center"/>
    </xf>
    <xf numFmtId="0" fontId="36" fillId="3" borderId="108" xfId="0" applyFont="1" applyFill="1" applyBorder="1"/>
    <xf numFmtId="0" fontId="36" fillId="4" borderId="109" xfId="0" applyFont="1" applyFill="1" applyBorder="1" applyAlignment="1">
      <alignment horizontal="right"/>
    </xf>
    <xf numFmtId="2" fontId="36" fillId="4" borderId="109" xfId="0" applyNumberFormat="1" applyFont="1" applyFill="1" applyBorder="1"/>
    <xf numFmtId="0" fontId="36" fillId="4" borderId="109" xfId="0" applyFont="1" applyFill="1" applyBorder="1"/>
    <xf numFmtId="0" fontId="36" fillId="4" borderId="109" xfId="0" applyFont="1" applyFill="1" applyBorder="1" applyAlignment="1">
      <alignment horizontal="center"/>
    </xf>
    <xf numFmtId="0" fontId="59" fillId="4" borderId="75" xfId="0" applyFont="1" applyFill="1" applyBorder="1" applyAlignment="1">
      <alignment horizontal="left"/>
    </xf>
    <xf numFmtId="174" fontId="9" fillId="0" borderId="1" xfId="0" applyNumberFormat="1" applyFont="1" applyBorder="1" applyAlignment="1">
      <alignment horizontal="center"/>
    </xf>
    <xf numFmtId="180" fontId="9" fillId="0" borderId="1" xfId="0" applyNumberFormat="1" applyFont="1" applyBorder="1" applyAlignment="1">
      <alignment horizontal="center"/>
    </xf>
    <xf numFmtId="0" fontId="36" fillId="4" borderId="75" xfId="0" applyFont="1" applyFill="1" applyBorder="1" applyAlignment="1">
      <alignment horizontal="left"/>
    </xf>
    <xf numFmtId="1" fontId="54" fillId="0" borderId="1" xfId="0" applyNumberFormat="1" applyFont="1" applyBorder="1"/>
    <xf numFmtId="0" fontId="11" fillId="0" borderId="1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5" fillId="0" borderId="10" xfId="0" applyFont="1" applyBorder="1"/>
    <xf numFmtId="4" fontId="5" fillId="0" borderId="10" xfId="0" applyNumberFormat="1" applyFont="1" applyBorder="1"/>
    <xf numFmtId="4" fontId="39" fillId="0" borderId="10" xfId="0" applyNumberFormat="1" applyFont="1" applyBorder="1" applyAlignment="1">
      <alignment horizontal="right"/>
    </xf>
    <xf numFmtId="167" fontId="36" fillId="4" borderId="9" xfId="0" applyNumberFormat="1" applyFont="1" applyFill="1" applyBorder="1"/>
    <xf numFmtId="0" fontId="11" fillId="0" borderId="0" xfId="0" applyFont="1" applyAlignment="1">
      <alignment horizontal="left"/>
    </xf>
    <xf numFmtId="4" fontId="5" fillId="0" borderId="0" xfId="0" applyNumberFormat="1" applyFont="1"/>
    <xf numFmtId="4" fontId="39" fillId="0" borderId="0" xfId="0" applyNumberFormat="1" applyFont="1" applyAlignment="1">
      <alignment horizontal="right"/>
    </xf>
    <xf numFmtId="0" fontId="60" fillId="3" borderId="75" xfId="0" applyFont="1" applyFill="1" applyBorder="1"/>
    <xf numFmtId="0" fontId="9" fillId="0" borderId="0" xfId="0" applyFont="1" applyAlignment="1">
      <alignment horizontal="left"/>
    </xf>
    <xf numFmtId="1" fontId="36" fillId="4" borderId="9" xfId="0" applyNumberFormat="1" applyFont="1" applyFill="1" applyBorder="1" applyAlignment="1">
      <alignment horizontal="right"/>
    </xf>
    <xf numFmtId="0" fontId="43" fillId="4" borderId="108" xfId="0" applyFont="1" applyFill="1" applyBorder="1" applyAlignment="1">
      <alignment horizontal="right"/>
    </xf>
    <xf numFmtId="1" fontId="43" fillId="4" borderId="109" xfId="0" applyNumberFormat="1" applyFont="1" applyFill="1" applyBorder="1" applyAlignment="1">
      <alignment horizontal="right"/>
    </xf>
    <xf numFmtId="0" fontId="43" fillId="4" borderId="110" xfId="0" applyFont="1" applyFill="1" applyBorder="1" applyAlignment="1">
      <alignment horizontal="left"/>
    </xf>
    <xf numFmtId="0" fontId="36" fillId="3" borderId="111" xfId="0" applyFont="1" applyFill="1" applyBorder="1"/>
    <xf numFmtId="0" fontId="36" fillId="4" borderId="112" xfId="0" applyFont="1" applyFill="1" applyBorder="1"/>
    <xf numFmtId="0" fontId="36" fillId="4" borderId="113" xfId="0" applyFont="1" applyFill="1" applyBorder="1"/>
    <xf numFmtId="0" fontId="5" fillId="4" borderId="9" xfId="0" applyFont="1" applyFill="1" applyBorder="1"/>
    <xf numFmtId="190" fontId="36" fillId="4" borderId="111" xfId="0" applyNumberFormat="1" applyFont="1" applyFill="1" applyBorder="1" applyAlignment="1">
      <alignment horizontal="right"/>
    </xf>
    <xf numFmtId="1" fontId="36" fillId="4" borderId="112" xfId="0" applyNumberFormat="1" applyFont="1" applyFill="1" applyBorder="1" applyAlignment="1">
      <alignment horizontal="right"/>
    </xf>
    <xf numFmtId="0" fontId="36" fillId="4" borderId="115" xfId="0" applyFont="1" applyFill="1" applyBorder="1"/>
    <xf numFmtId="0" fontId="36" fillId="4" borderId="19" xfId="0" applyFont="1" applyFill="1" applyBorder="1"/>
    <xf numFmtId="190" fontId="36" fillId="4" borderId="9" xfId="0" applyNumberFormat="1" applyFont="1" applyFill="1" applyBorder="1" applyAlignment="1">
      <alignment horizontal="right"/>
    </xf>
    <xf numFmtId="0" fontId="61" fillId="3" borderId="9" xfId="0" applyFont="1" applyFill="1" applyBorder="1"/>
    <xf numFmtId="0" fontId="36" fillId="5" borderId="9" xfId="0" applyFont="1" applyFill="1" applyBorder="1" applyAlignment="1">
      <alignment horizontal="right"/>
    </xf>
    <xf numFmtId="190" fontId="36" fillId="5" borderId="9" xfId="0" applyNumberFormat="1" applyFont="1" applyFill="1" applyBorder="1" applyAlignment="1">
      <alignment horizontal="left"/>
    </xf>
    <xf numFmtId="0" fontId="36" fillId="3" borderId="100" xfId="0" applyFont="1" applyFill="1" applyBorder="1" applyAlignment="1">
      <alignment horizontal="right"/>
    </xf>
    <xf numFmtId="0" fontId="36" fillId="3" borderId="101" xfId="0" applyFont="1" applyFill="1" applyBorder="1"/>
    <xf numFmtId="0" fontId="36" fillId="3" borderId="116" xfId="0" applyFont="1" applyFill="1" applyBorder="1"/>
    <xf numFmtId="1" fontId="36" fillId="3" borderId="9" xfId="0" applyNumberFormat="1" applyFont="1" applyFill="1" applyBorder="1"/>
    <xf numFmtId="1" fontId="43" fillId="4" borderId="9" xfId="0" applyNumberFormat="1" applyFont="1" applyFill="1" applyBorder="1" applyAlignment="1">
      <alignment horizontal="right"/>
    </xf>
    <xf numFmtId="0" fontId="43" fillId="4" borderId="9" xfId="0" applyFont="1" applyFill="1" applyBorder="1" applyAlignment="1">
      <alignment horizontal="left"/>
    </xf>
    <xf numFmtId="0" fontId="43" fillId="3" borderId="81" xfId="0" applyFont="1" applyFill="1" applyBorder="1" applyAlignment="1">
      <alignment horizontal="right"/>
    </xf>
    <xf numFmtId="1" fontId="43" fillId="3" borderId="82" xfId="0" applyNumberFormat="1" applyFont="1" applyFill="1" applyBorder="1"/>
    <xf numFmtId="0" fontId="43" fillId="3" borderId="83" xfId="0" applyFont="1" applyFill="1" applyBorder="1"/>
    <xf numFmtId="0" fontId="36" fillId="3" borderId="108" xfId="0" applyFont="1" applyFill="1" applyBorder="1" applyAlignment="1">
      <alignment horizontal="right"/>
    </xf>
    <xf numFmtId="1" fontId="36" fillId="3" borderId="109" xfId="0" applyNumberFormat="1" applyFont="1" applyFill="1" applyBorder="1"/>
    <xf numFmtId="0" fontId="36" fillId="3" borderId="110" xfId="0" applyFont="1" applyFill="1" applyBorder="1"/>
    <xf numFmtId="0" fontId="36" fillId="3" borderId="111" xfId="0" applyFont="1" applyFill="1" applyBorder="1" applyAlignment="1">
      <alignment horizontal="right"/>
    </xf>
    <xf numFmtId="1" fontId="36" fillId="3" borderId="112" xfId="0" applyNumberFormat="1" applyFont="1" applyFill="1" applyBorder="1"/>
    <xf numFmtId="0" fontId="36" fillId="3" borderId="113" xfId="0" applyFont="1" applyFill="1" applyBorder="1"/>
    <xf numFmtId="0" fontId="62" fillId="4" borderId="9" xfId="0" applyFont="1" applyFill="1" applyBorder="1" applyAlignment="1">
      <alignment horizontal="left"/>
    </xf>
    <xf numFmtId="0" fontId="36" fillId="4" borderId="76" xfId="0" applyFont="1" applyFill="1" applyBorder="1" applyAlignment="1">
      <alignment horizontal="left"/>
    </xf>
    <xf numFmtId="190" fontId="36" fillId="4" borderId="101" xfId="0" applyNumberFormat="1" applyFont="1" applyFill="1" applyBorder="1" applyAlignment="1">
      <alignment horizontal="right"/>
    </xf>
    <xf numFmtId="0" fontId="36" fillId="4" borderId="116" xfId="0" applyFont="1" applyFill="1" applyBorder="1" applyAlignment="1">
      <alignment horizontal="left"/>
    </xf>
    <xf numFmtId="191" fontId="36" fillId="4" borderId="9" xfId="0" applyNumberFormat="1" applyFont="1" applyFill="1" applyBorder="1" applyAlignment="1">
      <alignment horizontal="center"/>
    </xf>
    <xf numFmtId="0" fontId="43" fillId="4" borderId="100" xfId="0" applyFont="1" applyFill="1" applyBorder="1"/>
    <xf numFmtId="0" fontId="36" fillId="4" borderId="116" xfId="0" applyFont="1" applyFill="1" applyBorder="1"/>
    <xf numFmtId="0" fontId="36" fillId="4" borderId="100" xfId="0" applyFont="1" applyFill="1" applyBorder="1"/>
    <xf numFmtId="0" fontId="36" fillId="4" borderId="101" xfId="0" applyFont="1" applyFill="1" applyBorder="1" applyAlignment="1">
      <alignment horizontal="right"/>
    </xf>
    <xf numFmtId="1" fontId="36" fillId="4" borderId="101" xfId="0" applyNumberFormat="1" applyFont="1" applyFill="1" applyBorder="1" applyAlignment="1">
      <alignment horizontal="center"/>
    </xf>
    <xf numFmtId="0" fontId="36" fillId="4" borderId="116" xfId="0" applyFont="1" applyFill="1" applyBorder="1" applyAlignment="1">
      <alignment horizontal="center"/>
    </xf>
    <xf numFmtId="190" fontId="36" fillId="3" borderId="9" xfId="0" applyNumberFormat="1" applyFont="1" applyFill="1" applyBorder="1"/>
    <xf numFmtId="0" fontId="63" fillId="4" borderId="9" xfId="0" applyFont="1" applyFill="1" applyBorder="1"/>
    <xf numFmtId="0" fontId="43" fillId="3" borderId="9" xfId="0" applyFont="1" applyFill="1" applyBorder="1" applyAlignment="1">
      <alignment horizontal="right"/>
    </xf>
    <xf numFmtId="0" fontId="36" fillId="3" borderId="9" xfId="0" applyFont="1" applyFill="1" applyBorder="1" applyAlignment="1">
      <alignment horizontal="center"/>
    </xf>
    <xf numFmtId="0" fontId="43" fillId="3" borderId="108" xfId="0" applyFont="1" applyFill="1" applyBorder="1" applyAlignment="1">
      <alignment horizontal="right"/>
    </xf>
    <xf numFmtId="2" fontId="36" fillId="3" borderId="109" xfId="0" applyNumberFormat="1" applyFont="1" applyFill="1" applyBorder="1" applyAlignment="1">
      <alignment horizontal="center"/>
    </xf>
    <xf numFmtId="0" fontId="43" fillId="4" borderId="109" xfId="0" applyFont="1" applyFill="1" applyBorder="1" applyAlignment="1">
      <alignment horizontal="center"/>
    </xf>
    <xf numFmtId="0" fontId="36" fillId="4" borderId="110" xfId="0" applyFont="1" applyFill="1" applyBorder="1"/>
    <xf numFmtId="0" fontId="43" fillId="4" borderId="75" xfId="0" applyFont="1" applyFill="1" applyBorder="1" applyAlignment="1">
      <alignment horizontal="right"/>
    </xf>
    <xf numFmtId="2" fontId="36" fillId="3" borderId="9" xfId="0" applyNumberFormat="1" applyFont="1" applyFill="1" applyBorder="1" applyAlignment="1">
      <alignment horizontal="center"/>
    </xf>
    <xf numFmtId="0" fontId="43" fillId="4" borderId="111" xfId="0" applyFont="1" applyFill="1" applyBorder="1" applyAlignment="1">
      <alignment horizontal="right"/>
    </xf>
    <xf numFmtId="2" fontId="36" fillId="3" borderId="112" xfId="0" applyNumberFormat="1" applyFont="1" applyFill="1" applyBorder="1" applyAlignment="1">
      <alignment horizontal="center"/>
    </xf>
    <xf numFmtId="0" fontId="43" fillId="3" borderId="75" xfId="0" applyFont="1" applyFill="1" applyBorder="1" applyAlignment="1">
      <alignment horizontal="right"/>
    </xf>
    <xf numFmtId="1" fontId="36" fillId="4" borderId="101" xfId="0" applyNumberFormat="1" applyFont="1" applyFill="1" applyBorder="1" applyAlignment="1">
      <alignment horizontal="right"/>
    </xf>
    <xf numFmtId="0" fontId="36" fillId="4" borderId="100" xfId="0" applyFont="1" applyFill="1" applyBorder="1" applyAlignment="1">
      <alignment horizontal="right"/>
    </xf>
    <xf numFmtId="1" fontId="36" fillId="4" borderId="116" xfId="0" applyNumberFormat="1" applyFont="1" applyFill="1" applyBorder="1"/>
    <xf numFmtId="0" fontId="64" fillId="4" borderId="75" xfId="0" applyFont="1" applyFill="1" applyBorder="1"/>
    <xf numFmtId="4" fontId="36" fillId="4" borderId="9" xfId="0" applyNumberFormat="1" applyFont="1" applyFill="1" applyBorder="1"/>
    <xf numFmtId="0" fontId="36" fillId="5" borderId="9" xfId="0" applyFont="1" applyFill="1" applyBorder="1"/>
    <xf numFmtId="0" fontId="65" fillId="4" borderId="9" xfId="0" applyFont="1" applyFill="1" applyBorder="1"/>
    <xf numFmtId="0" fontId="36" fillId="4" borderId="117" xfId="0" applyFont="1" applyFill="1" applyBorder="1"/>
    <xf numFmtId="0" fontId="66" fillId="3" borderId="118" xfId="0" applyFont="1" applyFill="1" applyBorder="1" applyAlignment="1">
      <alignment horizontal="left"/>
    </xf>
    <xf numFmtId="0" fontId="9" fillId="3" borderId="118" xfId="0" applyFont="1" applyFill="1" applyBorder="1"/>
    <xf numFmtId="4" fontId="9" fillId="3" borderId="118" xfId="0" applyNumberFormat="1" applyFont="1" applyFill="1" applyBorder="1"/>
    <xf numFmtId="4" fontId="9" fillId="3" borderId="118" xfId="0" applyNumberFormat="1" applyFont="1" applyFill="1" applyBorder="1" applyAlignment="1">
      <alignment horizontal="right"/>
    </xf>
    <xf numFmtId="0" fontId="9" fillId="3" borderId="118" xfId="0" applyFont="1" applyFill="1" applyBorder="1" applyAlignment="1">
      <alignment horizontal="right"/>
    </xf>
    <xf numFmtId="2" fontId="9" fillId="3" borderId="118" xfId="0" applyNumberFormat="1" applyFont="1" applyFill="1" applyBorder="1"/>
    <xf numFmtId="191" fontId="36" fillId="4" borderId="9" xfId="0" applyNumberFormat="1" applyFont="1" applyFill="1" applyBorder="1"/>
    <xf numFmtId="175" fontId="9" fillId="3" borderId="118" xfId="0" applyNumberFormat="1" applyFont="1" applyFill="1" applyBorder="1"/>
    <xf numFmtId="190" fontId="9" fillId="3" borderId="118" xfId="0" applyNumberFormat="1" applyFont="1" applyFill="1" applyBorder="1"/>
    <xf numFmtId="192" fontId="9" fillId="3" borderId="118" xfId="0" applyNumberFormat="1" applyFont="1" applyFill="1" applyBorder="1"/>
    <xf numFmtId="0" fontId="9" fillId="3" borderId="118" xfId="0" applyFont="1" applyFill="1" applyBorder="1" applyAlignment="1">
      <alignment horizontal="left"/>
    </xf>
    <xf numFmtId="0" fontId="9" fillId="3" borderId="118" xfId="0" applyFont="1" applyFill="1" applyBorder="1" applyAlignment="1">
      <alignment horizontal="center"/>
    </xf>
    <xf numFmtId="4" fontId="9" fillId="3" borderId="118" xfId="0" applyNumberFormat="1" applyFont="1" applyFill="1" applyBorder="1" applyAlignment="1">
      <alignment horizontal="center"/>
    </xf>
    <xf numFmtId="175" fontId="9" fillId="3" borderId="118" xfId="0" applyNumberFormat="1" applyFont="1" applyFill="1" applyBorder="1" applyAlignment="1">
      <alignment horizontal="center"/>
    </xf>
    <xf numFmtId="0" fontId="36" fillId="4" borderId="0" xfId="0" applyFont="1" applyFill="1"/>
    <xf numFmtId="4" fontId="9" fillId="0" borderId="0" xfId="0" applyNumberFormat="1" applyFont="1" applyAlignment="1">
      <alignment horizontal="center"/>
    </xf>
    <xf numFmtId="0" fontId="11" fillId="3" borderId="118" xfId="0" applyFont="1" applyFill="1" applyBorder="1" applyAlignment="1">
      <alignment horizontal="left"/>
    </xf>
    <xf numFmtId="0" fontId="5" fillId="3" borderId="118" xfId="0" applyFont="1" applyFill="1" applyBorder="1"/>
    <xf numFmtId="4" fontId="5" fillId="3" borderId="118" xfId="0" applyNumberFormat="1" applyFont="1" applyFill="1" applyBorder="1"/>
    <xf numFmtId="4" fontId="39" fillId="3" borderId="118" xfId="0" applyNumberFormat="1" applyFont="1" applyFill="1" applyBorder="1" applyAlignment="1">
      <alignment horizontal="right"/>
    </xf>
    <xf numFmtId="0" fontId="12" fillId="3" borderId="118" xfId="0" applyFont="1" applyFill="1" applyBorder="1"/>
    <xf numFmtId="0" fontId="5" fillId="3" borderId="119" xfId="0" applyFont="1" applyFill="1" applyBorder="1"/>
    <xf numFmtId="4" fontId="5" fillId="3" borderId="119" xfId="0" applyNumberFormat="1" applyFont="1" applyFill="1" applyBorder="1"/>
    <xf numFmtId="4" fontId="39" fillId="3" borderId="119" xfId="0" applyNumberFormat="1" applyFont="1" applyFill="1" applyBorder="1" applyAlignment="1">
      <alignment horizontal="right"/>
    </xf>
    <xf numFmtId="4" fontId="39" fillId="3" borderId="119" xfId="0" applyNumberFormat="1" applyFont="1" applyFill="1" applyBorder="1" applyAlignment="1">
      <alignment horizontal="center"/>
    </xf>
    <xf numFmtId="0" fontId="11" fillId="3" borderId="120" xfId="0" applyFont="1" applyFill="1" applyBorder="1" applyAlignment="1">
      <alignment horizontal="left"/>
    </xf>
    <xf numFmtId="4" fontId="9" fillId="3" borderId="22" xfId="0" applyNumberFormat="1" applyFont="1" applyFill="1" applyBorder="1" applyAlignment="1">
      <alignment horizontal="center"/>
    </xf>
    <xf numFmtId="4" fontId="39" fillId="3" borderId="22" xfId="0" applyNumberFormat="1" applyFont="1" applyFill="1" applyBorder="1" applyAlignment="1">
      <alignment horizontal="right"/>
    </xf>
    <xf numFmtId="190" fontId="36" fillId="4" borderId="9" xfId="0" applyNumberFormat="1" applyFont="1" applyFill="1" applyBorder="1" applyAlignment="1">
      <alignment horizontal="center"/>
    </xf>
    <xf numFmtId="0" fontId="44" fillId="4" borderId="53" xfId="0" applyFont="1" applyFill="1" applyBorder="1" applyAlignment="1">
      <alignment horizontal="center"/>
    </xf>
    <xf numFmtId="0" fontId="11" fillId="10" borderId="0" xfId="0" applyFont="1" applyFill="1" applyAlignment="1">
      <alignment horizontal="left"/>
    </xf>
    <xf numFmtId="0" fontId="5" fillId="10" borderId="0" xfId="0" applyFont="1" applyFill="1"/>
    <xf numFmtId="4" fontId="5" fillId="10" borderId="0" xfId="0" applyNumberFormat="1" applyFont="1" applyFill="1"/>
    <xf numFmtId="4" fontId="39" fillId="10" borderId="0" xfId="0" applyNumberFormat="1" applyFont="1" applyFill="1" applyAlignment="1">
      <alignment horizontal="right"/>
    </xf>
    <xf numFmtId="0" fontId="36" fillId="11" borderId="75" xfId="0" applyFont="1" applyFill="1" applyBorder="1"/>
    <xf numFmtId="0" fontId="36" fillId="12" borderId="9" xfId="0" applyFont="1" applyFill="1" applyBorder="1" applyAlignment="1">
      <alignment horizontal="right"/>
    </xf>
    <xf numFmtId="167" fontId="36" fillId="12" borderId="9" xfId="0" applyNumberFormat="1" applyFont="1" applyFill="1" applyBorder="1"/>
    <xf numFmtId="0" fontId="36" fillId="12" borderId="9" xfId="0" applyFont="1" applyFill="1" applyBorder="1"/>
    <xf numFmtId="0" fontId="36" fillId="12" borderId="9" xfId="0" applyFont="1" applyFill="1" applyBorder="1" applyAlignment="1">
      <alignment horizontal="center"/>
    </xf>
    <xf numFmtId="0" fontId="36" fillId="12" borderId="76" xfId="0" applyFont="1" applyFill="1" applyBorder="1" applyAlignment="1">
      <alignment horizontal="center"/>
    </xf>
    <xf numFmtId="0" fontId="60" fillId="11" borderId="75" xfId="0" applyFont="1" applyFill="1" applyBorder="1"/>
    <xf numFmtId="0" fontId="36" fillId="11" borderId="9" xfId="0" applyFont="1" applyFill="1" applyBorder="1"/>
    <xf numFmtId="0" fontId="36" fillId="12" borderId="77" xfId="0" applyFont="1" applyFill="1" applyBorder="1" applyAlignment="1">
      <alignment horizontal="center"/>
    </xf>
    <xf numFmtId="0" fontId="36" fillId="12" borderId="75" xfId="0" applyFont="1" applyFill="1" applyBorder="1" applyAlignment="1">
      <alignment horizontal="center"/>
    </xf>
    <xf numFmtId="0" fontId="36" fillId="12" borderId="75" xfId="0" applyFont="1" applyFill="1" applyBorder="1" applyAlignment="1">
      <alignment horizontal="left"/>
    </xf>
    <xf numFmtId="0" fontId="9" fillId="10" borderId="0" xfId="0" applyFont="1" applyFill="1" applyAlignment="1">
      <alignment horizontal="left"/>
    </xf>
    <xf numFmtId="0" fontId="0" fillId="10" borderId="0" xfId="0" applyFill="1"/>
    <xf numFmtId="1" fontId="36" fillId="12" borderId="9" xfId="0" applyNumberFormat="1" applyFont="1" applyFill="1" applyBorder="1" applyAlignment="1">
      <alignment horizontal="right"/>
    </xf>
    <xf numFmtId="0" fontId="36" fillId="12" borderId="9" xfId="0" applyFont="1" applyFill="1" applyBorder="1" applyAlignment="1">
      <alignment horizontal="left"/>
    </xf>
    <xf numFmtId="0" fontId="43" fillId="12" borderId="108" xfId="0" applyFont="1" applyFill="1" applyBorder="1" applyAlignment="1">
      <alignment horizontal="right"/>
    </xf>
    <xf numFmtId="1" fontId="43" fillId="12" borderId="109" xfId="0" applyNumberFormat="1" applyFont="1" applyFill="1" applyBorder="1" applyAlignment="1">
      <alignment horizontal="right"/>
    </xf>
    <xf numFmtId="0" fontId="43" fillId="12" borderId="110" xfId="0" applyFont="1" applyFill="1" applyBorder="1" applyAlignment="1">
      <alignment horizontal="left"/>
    </xf>
    <xf numFmtId="0" fontId="36" fillId="11" borderId="111" xfId="0" applyFont="1" applyFill="1" applyBorder="1"/>
    <xf numFmtId="0" fontId="36" fillId="12" borderId="112" xfId="0" applyFont="1" applyFill="1" applyBorder="1"/>
    <xf numFmtId="0" fontId="36" fillId="12" borderId="113" xfId="0" applyFont="1" applyFill="1" applyBorder="1"/>
    <xf numFmtId="0" fontId="36" fillId="12" borderId="76" xfId="0" applyFont="1" applyFill="1" applyBorder="1"/>
    <xf numFmtId="0" fontId="36" fillId="12" borderId="77" xfId="0" applyFont="1" applyFill="1" applyBorder="1"/>
    <xf numFmtId="0" fontId="36" fillId="12" borderId="75" xfId="0" applyFont="1" applyFill="1" applyBorder="1"/>
    <xf numFmtId="0" fontId="5" fillId="12" borderId="9" xfId="0" applyFont="1" applyFill="1" applyBorder="1"/>
    <xf numFmtId="190" fontId="36" fillId="12" borderId="111" xfId="0" applyNumberFormat="1" applyFont="1" applyFill="1" applyBorder="1" applyAlignment="1">
      <alignment horizontal="right"/>
    </xf>
    <xf numFmtId="1" fontId="36" fillId="12" borderId="112" xfId="0" applyNumberFormat="1" applyFont="1" applyFill="1" applyBorder="1" applyAlignment="1">
      <alignment horizontal="right"/>
    </xf>
    <xf numFmtId="0" fontId="36" fillId="12" borderId="115" xfId="0" applyFont="1" applyFill="1" applyBorder="1"/>
    <xf numFmtId="0" fontId="36" fillId="12" borderId="19" xfId="0" applyFont="1" applyFill="1" applyBorder="1"/>
    <xf numFmtId="190" fontId="36" fillId="12" borderId="9" xfId="0" applyNumberFormat="1" applyFont="1" applyFill="1" applyBorder="1" applyAlignment="1">
      <alignment horizontal="right"/>
    </xf>
    <xf numFmtId="0" fontId="61" fillId="11" borderId="9" xfId="0" applyFont="1" applyFill="1" applyBorder="1"/>
    <xf numFmtId="0" fontId="70" fillId="0" borderId="0" xfId="0" applyFont="1"/>
    <xf numFmtId="190" fontId="0" fillId="0" borderId="0" xfId="0" applyNumberFormat="1"/>
    <xf numFmtId="0" fontId="70" fillId="0" borderId="121" xfId="0" applyFont="1" applyBorder="1"/>
    <xf numFmtId="0" fontId="0" fillId="0" borderId="121" xfId="0" applyBorder="1"/>
    <xf numFmtId="0" fontId="70" fillId="0" borderId="123" xfId="0" applyFont="1" applyBorder="1"/>
    <xf numFmtId="0" fontId="70" fillId="0" borderId="122" xfId="0" applyFont="1" applyBorder="1"/>
    <xf numFmtId="0" fontId="70" fillId="0" borderId="117" xfId="0" applyFont="1" applyBorder="1"/>
    <xf numFmtId="0" fontId="70" fillId="0" borderId="124" xfId="0" applyFont="1" applyBorder="1"/>
    <xf numFmtId="190" fontId="70" fillId="0" borderId="0" xfId="0" applyNumberFormat="1" applyFont="1"/>
    <xf numFmtId="0" fontId="22" fillId="0" borderId="25" xfId="0" applyFont="1" applyBorder="1" applyAlignment="1">
      <alignment horizontal="center" vertical="center" textRotation="45"/>
    </xf>
    <xf numFmtId="0" fontId="12" fillId="0" borderId="33" xfId="0" applyFont="1" applyBorder="1"/>
    <xf numFmtId="0" fontId="16" fillId="0" borderId="20" xfId="0" applyFont="1" applyBorder="1" applyAlignment="1">
      <alignment horizontal="center"/>
    </xf>
    <xf numFmtId="0" fontId="12" fillId="0" borderId="21" xfId="0" applyFont="1" applyBorder="1"/>
    <xf numFmtId="0" fontId="22" fillId="0" borderId="24" xfId="0" applyFont="1" applyBorder="1" applyAlignment="1">
      <alignment horizontal="center" vertical="center" wrapText="1"/>
    </xf>
    <xf numFmtId="0" fontId="12" fillId="0" borderId="32" xfId="0" applyFont="1" applyBorder="1"/>
    <xf numFmtId="0" fontId="22" fillId="0" borderId="25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12" fillId="0" borderId="34" xfId="0" applyFont="1" applyBorder="1"/>
    <xf numFmtId="0" fontId="22" fillId="0" borderId="29" xfId="0" applyFont="1" applyBorder="1" applyAlignment="1">
      <alignment horizontal="center" vertical="center" wrapText="1"/>
    </xf>
    <xf numFmtId="0" fontId="12" fillId="0" borderId="31" xfId="0" applyFont="1" applyBorder="1"/>
    <xf numFmtId="0" fontId="22" fillId="0" borderId="29" xfId="0" applyFont="1" applyBorder="1" applyAlignment="1">
      <alignment horizontal="center" vertical="center"/>
    </xf>
    <xf numFmtId="0" fontId="12" fillId="0" borderId="30" xfId="0" applyFont="1" applyBorder="1"/>
    <xf numFmtId="165" fontId="7" fillId="0" borderId="54" xfId="0" applyNumberFormat="1" applyFont="1" applyBorder="1" applyAlignment="1">
      <alignment horizontal="center"/>
    </xf>
    <xf numFmtId="0" fontId="12" fillId="0" borderId="55" xfId="0" applyFont="1" applyBorder="1"/>
    <xf numFmtId="165" fontId="7" fillId="0" borderId="39" xfId="0" applyNumberFormat="1" applyFont="1" applyBorder="1" applyAlignment="1">
      <alignment horizontal="center"/>
    </xf>
    <xf numFmtId="0" fontId="12" fillId="0" borderId="40" xfId="0" applyFont="1" applyBorder="1"/>
    <xf numFmtId="165" fontId="7" fillId="0" borderId="47" xfId="0" applyNumberFormat="1" applyFont="1" applyBorder="1" applyAlignment="1">
      <alignment horizontal="center"/>
    </xf>
    <xf numFmtId="0" fontId="12" fillId="0" borderId="48" xfId="0" applyFont="1" applyBorder="1"/>
    <xf numFmtId="4" fontId="68" fillId="0" borderId="28" xfId="0" applyNumberFormat="1" applyFont="1" applyBorder="1" applyAlignment="1">
      <alignment horizontal="center" vertical="center" wrapText="1"/>
    </xf>
    <xf numFmtId="0" fontId="69" fillId="0" borderId="36" xfId="0" applyFont="1" applyBorder="1"/>
    <xf numFmtId="0" fontId="22" fillId="0" borderId="39" xfId="0" applyFont="1" applyBorder="1" applyAlignment="1">
      <alignment horizontal="center" vertical="center"/>
    </xf>
    <xf numFmtId="0" fontId="9" fillId="0" borderId="11" xfId="0" applyFont="1" applyBorder="1" applyAlignment="1">
      <alignment horizontal="right"/>
    </xf>
    <xf numFmtId="0" fontId="12" fillId="0" borderId="10" xfId="0" applyFont="1" applyBorder="1"/>
    <xf numFmtId="0" fontId="20" fillId="0" borderId="17" xfId="0" applyFont="1" applyBorder="1" applyAlignment="1">
      <alignment horizontal="center"/>
    </xf>
    <xf numFmtId="0" fontId="12" fillId="0" borderId="18" xfId="0" applyFont="1" applyBorder="1"/>
    <xf numFmtId="0" fontId="22" fillId="0" borderId="27" xfId="0" applyFont="1" applyBorder="1" applyAlignment="1">
      <alignment horizontal="center" vertical="center" wrapText="1"/>
    </xf>
    <xf numFmtId="0" fontId="12" fillId="0" borderId="35" xfId="0" applyFont="1" applyBorder="1"/>
    <xf numFmtId="0" fontId="22" fillId="0" borderId="28" xfId="0" applyFont="1" applyBorder="1" applyAlignment="1">
      <alignment horizontal="center" vertical="center" wrapText="1"/>
    </xf>
    <xf numFmtId="0" fontId="12" fillId="0" borderId="36" xfId="0" applyFont="1" applyBorder="1"/>
    <xf numFmtId="4" fontId="22" fillId="0" borderId="26" xfId="0" applyNumberFormat="1" applyFont="1" applyBorder="1" applyAlignment="1">
      <alignment horizontal="center" vertical="center" wrapText="1"/>
    </xf>
    <xf numFmtId="4" fontId="22" fillId="0" borderId="28" xfId="0" applyNumberFormat="1" applyFont="1" applyBorder="1" applyAlignment="1">
      <alignment horizontal="center" vertical="center" wrapText="1"/>
    </xf>
    <xf numFmtId="0" fontId="11" fillId="0" borderId="2" xfId="0" applyFont="1" applyBorder="1"/>
    <xf numFmtId="0" fontId="12" fillId="0" borderId="3" xfId="0" applyFont="1" applyBorder="1"/>
    <xf numFmtId="0" fontId="13" fillId="0" borderId="6" xfId="0" applyFont="1" applyBorder="1" applyAlignment="1">
      <alignment horizontal="left"/>
    </xf>
    <xf numFmtId="0" fontId="12" fillId="0" borderId="7" xfId="0" applyFont="1" applyBorder="1"/>
    <xf numFmtId="0" fontId="12" fillId="0" borderId="8" xfId="0" applyFont="1" applyBorder="1"/>
    <xf numFmtId="0" fontId="9" fillId="0" borderId="2" xfId="0" applyFont="1" applyBorder="1"/>
    <xf numFmtId="0" fontId="2" fillId="0" borderId="47" xfId="0" applyFont="1" applyBorder="1" applyAlignment="1">
      <alignment horizontal="center"/>
    </xf>
    <xf numFmtId="0" fontId="12" fillId="0" borderId="62" xfId="0" applyFont="1" applyBorder="1"/>
    <xf numFmtId="174" fontId="2" fillId="0" borderId="54" xfId="0" applyNumberFormat="1" applyFont="1" applyBorder="1" applyAlignment="1">
      <alignment horizontal="center"/>
    </xf>
    <xf numFmtId="0" fontId="12" fillId="0" borderId="63" xfId="0" applyFont="1" applyBorder="1"/>
    <xf numFmtId="4" fontId="2" fillId="0" borderId="54" xfId="0" applyNumberFormat="1" applyFont="1" applyBorder="1" applyAlignment="1">
      <alignment horizontal="center"/>
    </xf>
    <xf numFmtId="4" fontId="28" fillId="0" borderId="71" xfId="0" applyNumberFormat="1" applyFont="1" applyBorder="1" applyAlignment="1">
      <alignment horizontal="center" vertical="center"/>
    </xf>
    <xf numFmtId="0" fontId="12" fillId="0" borderId="72" xfId="0" applyFont="1" applyBorder="1"/>
    <xf numFmtId="0" fontId="12" fillId="0" borderId="73" xfId="0" applyFont="1" applyBorder="1"/>
    <xf numFmtId="0" fontId="12" fillId="0" borderId="74" xfId="0" applyFont="1" applyBorder="1"/>
    <xf numFmtId="4" fontId="28" fillId="0" borderId="69" xfId="0" applyNumberFormat="1" applyFont="1" applyBorder="1" applyAlignment="1">
      <alignment horizontal="center" vertical="center"/>
    </xf>
    <xf numFmtId="0" fontId="12" fillId="0" borderId="70" xfId="0" applyFont="1" applyBorder="1"/>
    <xf numFmtId="0" fontId="28" fillId="0" borderId="69" xfId="0" applyFont="1" applyBorder="1" applyAlignment="1">
      <alignment horizontal="center" vertical="center"/>
    </xf>
    <xf numFmtId="174" fontId="2" fillId="0" borderId="47" xfId="0" applyNumberFormat="1" applyFont="1" applyBorder="1" applyAlignment="1">
      <alignment horizontal="center"/>
    </xf>
    <xf numFmtId="4" fontId="2" fillId="0" borderId="47" xfId="0" applyNumberFormat="1" applyFont="1" applyBorder="1" applyAlignment="1">
      <alignment horizontal="center"/>
    </xf>
    <xf numFmtId="0" fontId="28" fillId="0" borderId="64" xfId="0" applyFont="1" applyBorder="1" applyAlignment="1">
      <alignment horizontal="center" vertical="center"/>
    </xf>
    <xf numFmtId="0" fontId="12" fillId="0" borderId="68" xfId="0" applyFont="1" applyBorder="1"/>
    <xf numFmtId="0" fontId="28" fillId="0" borderId="65" xfId="0" applyFont="1" applyBorder="1" applyAlignment="1">
      <alignment horizontal="center" vertical="center"/>
    </xf>
    <xf numFmtId="0" fontId="12" fillId="0" borderId="66" xfId="0" applyFont="1" applyBorder="1"/>
    <xf numFmtId="0" fontId="12" fillId="0" borderId="67" xfId="0" applyFont="1" applyBorder="1"/>
    <xf numFmtId="4" fontId="28" fillId="0" borderId="64" xfId="0" applyNumberFormat="1" applyFont="1" applyBorder="1" applyAlignment="1">
      <alignment horizontal="center" vertical="center" wrapText="1"/>
    </xf>
    <xf numFmtId="4" fontId="28" fillId="0" borderId="64" xfId="0" applyNumberFormat="1" applyFont="1" applyBorder="1" applyAlignment="1">
      <alignment horizontal="center" vertical="center"/>
    </xf>
    <xf numFmtId="0" fontId="25" fillId="0" borderId="11" xfId="0" applyFont="1" applyBorder="1" applyAlignment="1">
      <alignment horizontal="left"/>
    </xf>
    <xf numFmtId="0" fontId="12" fillId="0" borderId="2" xfId="0" applyFont="1" applyBorder="1"/>
    <xf numFmtId="0" fontId="4" fillId="8" borderId="94" xfId="0" applyFont="1" applyFill="1" applyBorder="1" applyAlignment="1">
      <alignment horizontal="center"/>
    </xf>
    <xf numFmtId="0" fontId="12" fillId="0" borderId="95" xfId="0" applyFont="1" applyBorder="1"/>
    <xf numFmtId="0" fontId="12" fillId="0" borderId="96" xfId="0" applyFont="1" applyBorder="1"/>
    <xf numFmtId="0" fontId="48" fillId="8" borderId="49" xfId="0" applyFont="1" applyFill="1" applyBorder="1" applyAlignment="1">
      <alignment horizontal="center"/>
    </xf>
    <xf numFmtId="0" fontId="48" fillId="8" borderId="54" xfId="0" applyFont="1" applyFill="1" applyBorder="1" applyAlignment="1">
      <alignment horizontal="center"/>
    </xf>
    <xf numFmtId="0" fontId="12" fillId="0" borderId="97" xfId="0" applyFont="1" applyBorder="1"/>
    <xf numFmtId="0" fontId="22" fillId="0" borderId="78" xfId="0" applyFont="1" applyBorder="1" applyAlignment="1">
      <alignment horizontal="left"/>
    </xf>
    <xf numFmtId="0" fontId="12" fillId="0" borderId="79" xfId="0" applyFont="1" applyBorder="1"/>
    <xf numFmtId="0" fontId="12" fillId="0" borderId="80" xfId="0" applyFont="1" applyBorder="1"/>
    <xf numFmtId="0" fontId="36" fillId="12" borderId="19" xfId="0" applyFont="1" applyFill="1" applyBorder="1" applyAlignment="1">
      <alignment horizontal="center"/>
    </xf>
    <xf numFmtId="0" fontId="12" fillId="10" borderId="115" xfId="0" applyFont="1" applyFill="1" applyBorder="1"/>
    <xf numFmtId="0" fontId="12" fillId="10" borderId="77" xfId="0" applyFont="1" applyFill="1" applyBorder="1"/>
    <xf numFmtId="0" fontId="9" fillId="0" borderId="11" xfId="0" applyFont="1" applyBorder="1" applyAlignment="1">
      <alignment horizontal="left"/>
    </xf>
    <xf numFmtId="0" fontId="20" fillId="0" borderId="16" xfId="0" applyFont="1" applyBorder="1" applyAlignment="1">
      <alignment horizontal="center" vertical="center" wrapText="1"/>
    </xf>
    <xf numFmtId="0" fontId="12" fillId="0" borderId="23" xfId="0" applyFont="1" applyBorder="1"/>
    <xf numFmtId="0" fontId="12" fillId="0" borderId="4" xfId="0" applyFont="1" applyBorder="1"/>
    <xf numFmtId="0" fontId="22" fillId="0" borderId="11" xfId="0" applyFont="1" applyBorder="1" applyAlignment="1">
      <alignment horizontal="center"/>
    </xf>
    <xf numFmtId="0" fontId="54" fillId="0" borderId="11" xfId="0" applyFont="1" applyBorder="1" applyAlignment="1">
      <alignment horizontal="center"/>
    </xf>
    <xf numFmtId="0" fontId="36" fillId="4" borderId="19" xfId="0" applyFont="1" applyFill="1" applyBorder="1" applyAlignment="1">
      <alignment horizontal="center"/>
    </xf>
    <xf numFmtId="0" fontId="12" fillId="0" borderId="115" xfId="0" applyFont="1" applyBorder="1"/>
    <xf numFmtId="0" fontId="12" fillId="0" borderId="77" xfId="0" applyFont="1" applyBorder="1"/>
    <xf numFmtId="0" fontId="70" fillId="0" borderId="0" xfId="0" applyFont="1" applyAlignment="1">
      <alignment horizontal="center"/>
    </xf>
    <xf numFmtId="0" fontId="6" fillId="0" borderId="50" xfId="0" applyFont="1" applyBorder="1" applyAlignment="1">
      <alignment horizontal="center"/>
    </xf>
  </cellXfs>
  <cellStyles count="1">
    <cellStyle name="Normal" xfId="0" builtinId="0"/>
  </cellStyles>
  <dxfs count="104"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  <alignment wrapText="0" shrinkToFit="0"/>
    </dxf>
    <dxf>
      <font>
        <color rgb="FF00B050"/>
      </font>
      <fill>
        <patternFill patternType="none"/>
      </fill>
    </dxf>
    <dxf>
      <font>
        <color rgb="FF00B050"/>
      </font>
      <fill>
        <patternFill patternType="none"/>
      </fill>
      <alignment wrapText="0" shrinkToFit="0"/>
    </dxf>
    <dxf>
      <font>
        <color rgb="FFFF0000"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ont>
        <b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ont>
        <b/>
      </font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F4C7C3"/>
          <bgColor rgb="FFF4C7C3"/>
        </patternFill>
      </fill>
    </dxf>
    <dxf>
      <font>
        <color rgb="FF1155CC"/>
      </font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5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1</xdr:rowOff>
    </xdr:from>
    <xdr:to>
      <xdr:col>16</xdr:col>
      <xdr:colOff>36970</xdr:colOff>
      <xdr:row>2</xdr:row>
      <xdr:rowOff>123826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99B9EF1-80D2-4343-8C13-BC76D13F2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3425" y="1"/>
          <a:ext cx="2646820" cy="8572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1EBD6F1-0549-4F81-B91C-B38A0FC20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99531C-D55D-4BD1-A0B6-5F74A5E27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7135849-1286-4AAC-955E-35A384E16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504825</xdr:colOff>
      <xdr:row>18</xdr:row>
      <xdr:rowOff>38101</xdr:rowOff>
    </xdr:from>
    <xdr:ext cx="2247900" cy="1257300"/>
    <xdr:pic>
      <xdr:nvPicPr>
        <xdr:cNvPr id="3" name="image5.png" title="Imag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23975" y="3448051"/>
          <a:ext cx="2247900" cy="12573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704850</xdr:colOff>
      <xdr:row>39</xdr:row>
      <xdr:rowOff>133350</xdr:rowOff>
    </xdr:from>
    <xdr:ext cx="4762500" cy="990599"/>
    <xdr:pic>
      <xdr:nvPicPr>
        <xdr:cNvPr id="4" name="image4.png" title="Imag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04850" y="6981825"/>
          <a:ext cx="4762500" cy="990599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8</xdr:col>
      <xdr:colOff>1121163</xdr:colOff>
      <xdr:row>2</xdr:row>
      <xdr:rowOff>108502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D6E63C0-2E27-4D76-BF04-2DA5B6A11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0" y="0"/>
          <a:ext cx="2645163" cy="8609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DD2014F-A3FC-4DF1-8CAF-2EC7EAFF2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87815CA-E8BB-4824-90D2-58478D0CA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C0B3ED0-4F61-4F44-ABE1-54035143C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53EC1A-83BA-40AE-89A9-0E5B3DF29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1DCE44-4032-4F8A-B68E-3BF03FFF5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E33052C-8040-4840-A037-E9D936D0B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180975</xdr:colOff>
      <xdr:row>16</xdr:row>
      <xdr:rowOff>28575</xdr:rowOff>
    </xdr:from>
    <xdr:ext cx="3962400" cy="3438525"/>
    <xdr:pic>
      <xdr:nvPicPr>
        <xdr:cNvPr id="2" name="image6.jpg" title="Imag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 editAs="oneCell">
    <xdr:from>
      <xdr:col>6</xdr:col>
      <xdr:colOff>0</xdr:colOff>
      <xdr:row>0</xdr:row>
      <xdr:rowOff>0</xdr:rowOff>
    </xdr:from>
    <xdr:to>
      <xdr:col>9</xdr:col>
      <xdr:colOff>101988</xdr:colOff>
      <xdr:row>2</xdr:row>
      <xdr:rowOff>60877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6D4763-B762-4DE6-8A4F-FBEE8280D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0" y="0"/>
          <a:ext cx="2645163" cy="8609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45"/>
  <sheetViews>
    <sheetView showGridLines="0" tabSelected="1" topLeftCell="A2" workbookViewId="0">
      <selection activeCell="C36" sqref="C36"/>
    </sheetView>
  </sheetViews>
  <sheetFormatPr defaultColWidth="14.42578125" defaultRowHeight="15.75" customHeight="1"/>
  <cols>
    <col min="1" max="1" width="8" customWidth="1"/>
    <col min="2" max="2" width="9.7109375" customWidth="1"/>
    <col min="3" max="3" width="9.85546875" customWidth="1"/>
    <col min="4" max="4" width="11.28515625" customWidth="1"/>
    <col min="5" max="5" width="10.28515625" customWidth="1"/>
    <col min="6" max="6" width="9.5703125" customWidth="1"/>
    <col min="7" max="9" width="9.42578125" customWidth="1"/>
    <col min="10" max="10" width="7.7109375" customWidth="1"/>
    <col min="11" max="11" width="5.140625" customWidth="1"/>
    <col min="12" max="12" width="7.42578125" customWidth="1"/>
    <col min="13" max="16" width="8.42578125" hidden="1" customWidth="1"/>
    <col min="17" max="18" width="8.42578125" customWidth="1"/>
  </cols>
  <sheetData>
    <row r="1" spans="1:18" ht="45" customHeight="1">
      <c r="A1" s="1" t="s">
        <v>0</v>
      </c>
      <c r="B1" s="2"/>
      <c r="C1" s="2"/>
      <c r="D1" s="3"/>
      <c r="E1" s="4"/>
      <c r="F1" s="3"/>
      <c r="G1" s="4"/>
      <c r="H1" s="3"/>
      <c r="I1" s="2"/>
      <c r="J1" s="2"/>
      <c r="K1" s="2"/>
      <c r="L1" s="5"/>
      <c r="M1" s="6"/>
      <c r="N1" s="6"/>
      <c r="O1" s="7"/>
      <c r="P1" s="7"/>
      <c r="Q1" s="7"/>
      <c r="R1" s="8"/>
    </row>
    <row r="2" spans="1:18" ht="12.75">
      <c r="A2" s="9"/>
      <c r="B2" s="2"/>
      <c r="C2" s="2"/>
      <c r="D2" s="3"/>
      <c r="E2" s="3"/>
      <c r="F2" s="3"/>
      <c r="G2" s="10"/>
      <c r="H2" s="3"/>
      <c r="I2" s="11"/>
      <c r="J2" s="11"/>
      <c r="K2" s="11"/>
      <c r="L2" s="7"/>
      <c r="M2" s="7"/>
      <c r="N2" s="7"/>
      <c r="O2" s="12" t="s">
        <v>1</v>
      </c>
      <c r="P2" s="13">
        <f ca="1">IFERROR(__xludf.DUMMYFUNCTION("IMPORTRANGE(I4,""LOADS!E35"")-IMPORTRANGE(I4,""LOADS!B38"")"),39)</f>
        <v>39</v>
      </c>
      <c r="Q2" s="7"/>
      <c r="R2" s="8"/>
    </row>
    <row r="3" spans="1:18">
      <c r="A3" s="14" t="s">
        <v>335</v>
      </c>
      <c r="B3" s="15"/>
      <c r="C3" s="15"/>
      <c r="D3" s="16"/>
      <c r="E3" s="16"/>
      <c r="F3" s="16"/>
      <c r="G3" s="17"/>
      <c r="H3" s="16"/>
      <c r="I3" s="20"/>
      <c r="J3" s="18"/>
      <c r="K3" s="18"/>
      <c r="L3" s="19"/>
      <c r="M3" s="19"/>
      <c r="N3" s="19"/>
      <c r="O3" s="12" t="s">
        <v>2</v>
      </c>
      <c r="P3" s="13">
        <f ca="1">IFERROR(__xludf.DUMMYFUNCTION("IMPORTRANGE(I4,""LOADS!E41"")-IMPORTRANGE(I4,""LOADS!B44"")"),4)</f>
        <v>4</v>
      </c>
      <c r="Q3" s="19"/>
      <c r="R3" s="20"/>
    </row>
    <row r="4" spans="1:18" ht="12.75">
      <c r="A4" s="17"/>
      <c r="B4" s="19"/>
      <c r="C4" s="19"/>
      <c r="D4" s="19"/>
      <c r="E4" s="21"/>
      <c r="F4" s="15"/>
      <c r="G4" s="17"/>
      <c r="H4" s="17"/>
      <c r="I4" s="20"/>
      <c r="J4" s="531"/>
      <c r="K4" s="532"/>
      <c r="L4" s="19"/>
      <c r="M4" s="19"/>
      <c r="N4" s="19"/>
      <c r="O4" s="17" t="s">
        <v>3</v>
      </c>
      <c r="P4" s="22">
        <f ca="1">IFERROR(__xludf.DUMMYFUNCTION("IMPORTRANGE(I4,""SEISMIC!C16"")"),1.25)</f>
        <v>1.25</v>
      </c>
      <c r="Q4" s="19"/>
      <c r="R4" s="20"/>
    </row>
    <row r="5" spans="1:18" ht="12.75" customHeight="1">
      <c r="A5" s="23"/>
      <c r="B5" s="23"/>
      <c r="C5" s="23"/>
      <c r="D5" s="19"/>
      <c r="E5" s="17"/>
      <c r="F5" s="24"/>
      <c r="G5" s="17"/>
      <c r="H5" s="25"/>
      <c r="I5" s="26"/>
      <c r="J5" s="20"/>
      <c r="K5" s="20"/>
      <c r="L5" s="19"/>
      <c r="M5" s="19"/>
      <c r="N5" s="15"/>
      <c r="O5" s="17" t="s">
        <v>4</v>
      </c>
      <c r="P5" s="27">
        <f ca="1">MAX((0.4*E15*P4),0.1)</f>
        <v>0.26350000000000001</v>
      </c>
      <c r="Q5" s="19"/>
      <c r="R5" s="20"/>
    </row>
    <row r="6" spans="1:18" ht="12.75">
      <c r="A6" s="533" t="s">
        <v>333</v>
      </c>
      <c r="B6" s="534"/>
      <c r="C6" s="535"/>
      <c r="D6" s="19"/>
      <c r="E6" s="17"/>
      <c r="F6" s="28" t="s">
        <v>5</v>
      </c>
      <c r="G6" s="17"/>
      <c r="H6" s="25"/>
      <c r="I6" s="19"/>
      <c r="J6" s="19"/>
      <c r="K6" s="19"/>
      <c r="L6" s="19"/>
      <c r="M6" s="19"/>
      <c r="N6" s="15"/>
      <c r="O6" s="17"/>
      <c r="P6" s="15"/>
      <c r="Q6" s="19"/>
      <c r="R6" s="20"/>
    </row>
    <row r="7" spans="1:18" ht="12.75">
      <c r="A7" s="17"/>
      <c r="B7" s="29"/>
      <c r="C7" s="29" t="s">
        <v>6</v>
      </c>
      <c r="D7" s="29" t="s">
        <v>7</v>
      </c>
      <c r="E7" s="17"/>
      <c r="F7" s="30"/>
      <c r="G7" s="536"/>
      <c r="H7" s="522"/>
      <c r="I7" s="19"/>
      <c r="J7" s="19"/>
      <c r="K7" s="19"/>
      <c r="L7" s="19"/>
      <c r="M7" s="19"/>
      <c r="N7" s="15"/>
      <c r="O7" s="15"/>
      <c r="P7" s="15"/>
      <c r="Q7" s="31"/>
      <c r="R7" s="32"/>
    </row>
    <row r="8" spans="1:18" ht="12.75">
      <c r="A8" s="521" t="s">
        <v>8</v>
      </c>
      <c r="B8" s="522"/>
      <c r="C8" s="33">
        <v>25</v>
      </c>
      <c r="D8" s="33">
        <v>0</v>
      </c>
      <c r="E8" s="17"/>
      <c r="F8" s="30" t="s">
        <v>9</v>
      </c>
      <c r="G8" s="34">
        <v>2000</v>
      </c>
      <c r="H8" s="35" t="str">
        <f>IF(G8&lt;1500,"Too Low",IF(G8&gt;4000,"Too High",""))</f>
        <v/>
      </c>
      <c r="I8" s="36"/>
      <c r="J8" s="36"/>
      <c r="K8" s="36"/>
      <c r="L8" s="19"/>
      <c r="M8" s="19"/>
      <c r="N8" s="15"/>
      <c r="O8" s="15"/>
      <c r="P8" s="15"/>
      <c r="Q8" s="31"/>
      <c r="R8" s="32"/>
    </row>
    <row r="9" spans="1:18" ht="12.75">
      <c r="A9" s="521" t="s">
        <v>10</v>
      </c>
      <c r="B9" s="522"/>
      <c r="C9" s="37">
        <v>0</v>
      </c>
      <c r="D9" s="38">
        <v>0</v>
      </c>
      <c r="E9" s="17"/>
      <c r="F9" s="30" t="s">
        <v>11</v>
      </c>
      <c r="G9" s="39">
        <v>60</v>
      </c>
      <c r="H9" s="40"/>
      <c r="I9" s="41"/>
      <c r="J9" s="41"/>
      <c r="K9" s="41"/>
      <c r="L9" s="19"/>
      <c r="M9" s="19"/>
      <c r="N9" s="15"/>
      <c r="O9" s="15"/>
      <c r="P9" s="15"/>
      <c r="Q9" s="31"/>
      <c r="R9" s="32"/>
    </row>
    <row r="10" spans="1:18" ht="12.75">
      <c r="A10" s="521" t="s">
        <v>12</v>
      </c>
      <c r="B10" s="522"/>
      <c r="C10" s="38">
        <v>59.2</v>
      </c>
      <c r="D10" s="37">
        <v>0</v>
      </c>
      <c r="E10" s="17"/>
      <c r="F10" s="30" t="s">
        <v>13</v>
      </c>
      <c r="G10" s="42" t="s">
        <v>14</v>
      </c>
      <c r="H10" s="43"/>
      <c r="I10" s="41"/>
      <c r="J10" s="41"/>
      <c r="K10" s="41"/>
      <c r="L10" s="19"/>
      <c r="M10" s="19"/>
      <c r="N10" s="15"/>
      <c r="O10" s="15"/>
      <c r="P10" s="15"/>
      <c r="Q10" s="31"/>
      <c r="R10" s="32"/>
    </row>
    <row r="11" spans="1:18" ht="12.75">
      <c r="A11" s="17"/>
      <c r="B11" s="44"/>
      <c r="C11" s="44"/>
      <c r="D11" s="45"/>
      <c r="E11" s="16"/>
      <c r="F11" s="17" t="s">
        <v>15</v>
      </c>
      <c r="G11" s="42" t="s">
        <v>16</v>
      </c>
      <c r="H11" s="40"/>
      <c r="I11" s="19"/>
      <c r="J11" s="18"/>
      <c r="K11" s="18"/>
      <c r="L11" s="15"/>
      <c r="M11" s="19"/>
      <c r="N11" s="15"/>
      <c r="O11" s="15"/>
      <c r="P11" s="15"/>
      <c r="Q11" s="46"/>
      <c r="R11" s="47"/>
    </row>
    <row r="12" spans="1:18" ht="12.75">
      <c r="A12" s="48" t="s">
        <v>17</v>
      </c>
      <c r="B12" s="15"/>
      <c r="C12" s="15"/>
      <c r="D12" s="16"/>
      <c r="E12" s="16"/>
      <c r="F12" s="19"/>
      <c r="G12" s="49"/>
      <c r="I12" s="50"/>
      <c r="J12" s="51"/>
      <c r="K12" s="51"/>
      <c r="L12" s="19"/>
      <c r="M12" s="19"/>
      <c r="N12" s="19"/>
      <c r="O12" s="19"/>
      <c r="P12" s="19"/>
      <c r="Q12" s="19"/>
      <c r="R12" s="20"/>
    </row>
    <row r="13" spans="1:18" ht="12.75">
      <c r="A13" s="523" t="s">
        <v>18</v>
      </c>
      <c r="B13" s="524"/>
      <c r="C13" s="52" t="s">
        <v>19</v>
      </c>
      <c r="D13" s="17"/>
      <c r="E13" s="16"/>
      <c r="F13" s="19"/>
      <c r="G13" s="53"/>
      <c r="H13" s="48"/>
      <c r="I13" s="48"/>
      <c r="J13" s="48"/>
      <c r="K13" s="48"/>
      <c r="L13" s="41"/>
      <c r="M13" s="19"/>
      <c r="N13" s="19"/>
      <c r="O13" s="19"/>
      <c r="P13" s="19"/>
      <c r="Q13" s="19"/>
      <c r="R13" s="20"/>
    </row>
    <row r="14" spans="1:18" ht="12.75">
      <c r="A14" s="501">
        <v>1</v>
      </c>
      <c r="B14" s="502"/>
      <c r="C14" s="54">
        <v>40</v>
      </c>
      <c r="D14" s="55" t="s">
        <v>20</v>
      </c>
      <c r="E14" s="56">
        <v>25</v>
      </c>
      <c r="F14" s="19"/>
      <c r="G14" s="17"/>
      <c r="H14" s="48"/>
      <c r="I14" s="48"/>
      <c r="J14" s="48"/>
      <c r="K14" s="48"/>
      <c r="L14" s="15"/>
      <c r="M14" s="19"/>
      <c r="N14" s="15"/>
      <c r="O14" s="18"/>
      <c r="P14" s="19"/>
      <c r="Q14" s="19"/>
      <c r="R14" s="20"/>
    </row>
    <row r="15" spans="1:18" ht="12.75">
      <c r="A15" s="501">
        <v>2</v>
      </c>
      <c r="B15" s="502"/>
      <c r="C15" s="54">
        <v>40</v>
      </c>
      <c r="D15" s="55" t="s">
        <v>21</v>
      </c>
      <c r="E15" s="57">
        <v>0.52700000000000002</v>
      </c>
      <c r="F15" s="41"/>
      <c r="G15" s="17"/>
      <c r="H15" s="48"/>
      <c r="I15" s="48"/>
      <c r="J15" s="48"/>
      <c r="K15" s="48"/>
      <c r="L15" s="15"/>
      <c r="M15" s="19"/>
      <c r="N15" s="15"/>
      <c r="O15" s="18"/>
      <c r="P15" s="19"/>
      <c r="Q15" s="19"/>
      <c r="R15" s="20"/>
    </row>
    <row r="16" spans="1:18" ht="12.75">
      <c r="A16" s="501">
        <v>3</v>
      </c>
      <c r="B16" s="502"/>
      <c r="C16" s="58">
        <v>0</v>
      </c>
      <c r="D16" s="59"/>
      <c r="E16" s="60"/>
      <c r="F16" s="19"/>
      <c r="H16" s="48"/>
      <c r="I16" s="48"/>
      <c r="J16" s="48"/>
      <c r="K16" s="48"/>
      <c r="L16" s="19"/>
      <c r="M16" s="19"/>
      <c r="N16" s="15"/>
      <c r="O16" s="15"/>
      <c r="P16" s="15"/>
      <c r="Q16" s="19"/>
      <c r="R16" s="20"/>
    </row>
    <row r="17" spans="1:20" ht="12.75">
      <c r="A17" s="501">
        <v>4</v>
      </c>
      <c r="B17" s="502"/>
      <c r="C17" s="58">
        <v>0</v>
      </c>
      <c r="D17" s="55"/>
      <c r="E17" s="50"/>
      <c r="F17" s="50"/>
      <c r="G17" s="50"/>
      <c r="H17" s="60"/>
      <c r="I17" s="50"/>
      <c r="J17" s="50"/>
      <c r="K17" s="50"/>
      <c r="L17" s="15"/>
      <c r="M17" s="19"/>
      <c r="N17" s="15"/>
      <c r="O17" s="15"/>
      <c r="P17" s="15"/>
      <c r="Q17" s="19"/>
      <c r="R17" s="20"/>
    </row>
    <row r="18" spans="1:20" ht="12.75">
      <c r="A18" s="61"/>
      <c r="B18" s="62"/>
      <c r="C18" s="62"/>
      <c r="D18" s="50"/>
      <c r="E18" s="60"/>
      <c r="F18" s="50"/>
      <c r="G18" s="50"/>
      <c r="H18" s="60"/>
      <c r="I18" s="50"/>
      <c r="J18" s="50"/>
      <c r="K18" s="50"/>
      <c r="L18" s="15"/>
      <c r="M18" s="19"/>
      <c r="N18" s="15"/>
      <c r="O18" s="15"/>
      <c r="P18" s="15"/>
      <c r="Q18" s="19"/>
      <c r="R18" s="20"/>
    </row>
    <row r="19" spans="1:20" ht="12.75">
      <c r="A19" s="503" t="s">
        <v>22</v>
      </c>
      <c r="B19" s="505" t="s">
        <v>23</v>
      </c>
      <c r="C19" s="506" t="s">
        <v>24</v>
      </c>
      <c r="D19" s="525" t="s">
        <v>25</v>
      </c>
      <c r="E19" s="527" t="s">
        <v>26</v>
      </c>
      <c r="F19" s="529" t="s">
        <v>27</v>
      </c>
      <c r="G19" s="530" t="s">
        <v>28</v>
      </c>
      <c r="H19" s="510" t="s">
        <v>29</v>
      </c>
      <c r="I19" s="511"/>
      <c r="J19" s="511"/>
      <c r="K19" s="509"/>
      <c r="L19" s="518" t="s">
        <v>30</v>
      </c>
      <c r="M19" s="19"/>
      <c r="N19" s="19"/>
      <c r="O19" s="19" t="s">
        <v>31</v>
      </c>
      <c r="P19" s="19"/>
      <c r="Q19" s="19"/>
      <c r="R19" s="20"/>
    </row>
    <row r="20" spans="1:20" ht="12.75">
      <c r="A20" s="504"/>
      <c r="B20" s="500"/>
      <c r="C20" s="507"/>
      <c r="D20" s="526"/>
      <c r="E20" s="528"/>
      <c r="F20" s="507"/>
      <c r="G20" s="528"/>
      <c r="H20" s="63" t="s">
        <v>32</v>
      </c>
      <c r="I20" s="64" t="s">
        <v>33</v>
      </c>
      <c r="J20" s="520" t="s">
        <v>34</v>
      </c>
      <c r="K20" s="515"/>
      <c r="L20" s="519"/>
      <c r="M20" s="19"/>
      <c r="N20" s="19"/>
      <c r="O20" s="65">
        <v>8</v>
      </c>
      <c r="P20" s="19"/>
      <c r="Q20" s="19"/>
      <c r="R20" s="20"/>
    </row>
    <row r="21" spans="1:20" ht="13.5" thickBot="1">
      <c r="A21" s="66" t="s">
        <v>35</v>
      </c>
      <c r="B21" s="67">
        <v>1</v>
      </c>
      <c r="C21" s="68">
        <v>17.666</v>
      </c>
      <c r="D21" s="69" t="s">
        <v>36</v>
      </c>
      <c r="E21" s="70">
        <v>17.666</v>
      </c>
      <c r="F21" s="68">
        <v>12</v>
      </c>
      <c r="G21" s="70">
        <v>12</v>
      </c>
      <c r="H21" s="71">
        <f>IF(A21="","",F21*$C$8+G21*$D$8)</f>
        <v>300</v>
      </c>
      <c r="I21" s="72">
        <f t="shared" ref="I21:I30" si="0">IF(A21="","",F21*$C$9+G21*$D$9)</f>
        <v>0</v>
      </c>
      <c r="J21" s="516">
        <f>IF(A21="","",F21*$C$10+G21*$D$10)</f>
        <v>710.40000000000009</v>
      </c>
      <c r="K21" s="517"/>
      <c r="L21" s="73">
        <v>1</v>
      </c>
      <c r="M21" s="41"/>
      <c r="N21" s="15"/>
      <c r="O21" s="65">
        <v>16</v>
      </c>
      <c r="P21" s="19"/>
      <c r="Q21" s="19"/>
      <c r="R21" s="20"/>
    </row>
    <row r="22" spans="1:20" ht="13.5" thickBot="1">
      <c r="A22" s="74" t="s">
        <v>355</v>
      </c>
      <c r="B22" s="75">
        <v>1</v>
      </c>
      <c r="C22" s="76">
        <v>17.7</v>
      </c>
      <c r="D22" s="77" t="s">
        <v>36</v>
      </c>
      <c r="E22" s="78">
        <v>17.7</v>
      </c>
      <c r="F22" s="68">
        <v>0</v>
      </c>
      <c r="G22" s="70">
        <v>3</v>
      </c>
      <c r="H22" s="79">
        <f>IF(A22="","",F22*$C$8+G22*80+128*17.666)</f>
        <v>2501.248</v>
      </c>
      <c r="I22" s="80">
        <f>IF(A22="","",F22*$C$9+G22*80)</f>
        <v>240</v>
      </c>
      <c r="J22" s="512">
        <f t="shared" ref="J22:J30" si="1">IF(A22="","",F22*$C$10+G22*$D$10)</f>
        <v>0</v>
      </c>
      <c r="K22" s="513"/>
      <c r="L22" s="81">
        <v>1</v>
      </c>
      <c r="M22" s="41"/>
      <c r="N22" s="15"/>
      <c r="O22" s="65">
        <v>24</v>
      </c>
      <c r="P22" s="15"/>
      <c r="Q22" s="19"/>
      <c r="R22" s="20"/>
    </row>
    <row r="23" spans="1:20" ht="12.75">
      <c r="A23" s="74"/>
      <c r="B23" s="75"/>
      <c r="C23" s="76"/>
      <c r="D23" s="77"/>
      <c r="E23" s="78"/>
      <c r="F23" s="68"/>
      <c r="G23" s="70"/>
      <c r="H23" s="79" t="str">
        <f>IF(A23="","",F23*$C$8+G23*$D$8+128*17.666)</f>
        <v/>
      </c>
      <c r="I23" s="80" t="str">
        <f t="shared" si="0"/>
        <v/>
      </c>
      <c r="J23" s="512" t="str">
        <f t="shared" ref="J23" si="2">IF(A23="","",F23*$C$10+G23*$D$10)</f>
        <v/>
      </c>
      <c r="K23" s="513"/>
      <c r="L23" s="81">
        <v>1</v>
      </c>
      <c r="M23" s="41"/>
      <c r="N23" s="15"/>
      <c r="O23" s="65">
        <v>32</v>
      </c>
      <c r="P23" s="15"/>
      <c r="Q23" s="19"/>
      <c r="R23" s="20"/>
    </row>
    <row r="24" spans="1:20" ht="12.75">
      <c r="A24" s="74"/>
      <c r="B24" s="75"/>
      <c r="C24" s="76"/>
      <c r="D24" s="77"/>
      <c r="E24" s="78"/>
      <c r="F24" s="76"/>
      <c r="G24" s="78"/>
      <c r="H24" s="79" t="str">
        <f t="shared" ref="H24:H30" si="3">IF(A24="","",F24*$C$8+G24*$D$8)</f>
        <v/>
      </c>
      <c r="I24" s="80" t="str">
        <f t="shared" si="0"/>
        <v/>
      </c>
      <c r="J24" s="512" t="str">
        <f t="shared" si="1"/>
        <v/>
      </c>
      <c r="K24" s="513"/>
      <c r="L24" s="81"/>
      <c r="M24" s="41"/>
      <c r="N24" s="15"/>
      <c r="O24" s="65">
        <v>40</v>
      </c>
      <c r="P24" s="15"/>
      <c r="Q24" s="19"/>
      <c r="R24" s="20"/>
    </row>
    <row r="25" spans="1:20" ht="12.75">
      <c r="A25" s="74"/>
      <c r="B25" s="75"/>
      <c r="C25" s="76"/>
      <c r="D25" s="77"/>
      <c r="E25" s="78"/>
      <c r="F25" s="76"/>
      <c r="G25" s="78"/>
      <c r="H25" s="79" t="str">
        <f t="shared" si="3"/>
        <v/>
      </c>
      <c r="I25" s="80" t="str">
        <f t="shared" si="0"/>
        <v/>
      </c>
      <c r="J25" s="512" t="str">
        <f t="shared" si="1"/>
        <v/>
      </c>
      <c r="K25" s="513"/>
      <c r="L25" s="81"/>
      <c r="M25" s="82"/>
      <c r="N25" s="15"/>
      <c r="O25" s="65">
        <v>48</v>
      </c>
      <c r="P25" s="15"/>
      <c r="Q25" s="19"/>
      <c r="R25" s="20"/>
    </row>
    <row r="26" spans="1:20" ht="12.75">
      <c r="A26" s="74"/>
      <c r="B26" s="75"/>
      <c r="C26" s="76"/>
      <c r="D26" s="77"/>
      <c r="E26" s="78"/>
      <c r="F26" s="76"/>
      <c r="G26" s="78"/>
      <c r="H26" s="79" t="str">
        <f t="shared" si="3"/>
        <v/>
      </c>
      <c r="I26" s="80" t="str">
        <f t="shared" si="0"/>
        <v/>
      </c>
      <c r="J26" s="512" t="str">
        <f t="shared" si="1"/>
        <v/>
      </c>
      <c r="K26" s="513"/>
      <c r="L26" s="81"/>
      <c r="M26" s="41"/>
      <c r="N26" s="19"/>
      <c r="O26" s="65">
        <v>56</v>
      </c>
      <c r="P26" s="19"/>
      <c r="Q26" s="19"/>
      <c r="R26" s="20"/>
    </row>
    <row r="27" spans="1:20" ht="12.75">
      <c r="A27" s="74"/>
      <c r="B27" s="75"/>
      <c r="C27" s="76"/>
      <c r="D27" s="77"/>
      <c r="E27" s="78"/>
      <c r="F27" s="76"/>
      <c r="G27" s="78"/>
      <c r="H27" s="79" t="str">
        <f t="shared" si="3"/>
        <v/>
      </c>
      <c r="I27" s="80" t="str">
        <f t="shared" si="0"/>
        <v/>
      </c>
      <c r="J27" s="512" t="str">
        <f t="shared" si="1"/>
        <v/>
      </c>
      <c r="K27" s="513"/>
      <c r="L27" s="81"/>
      <c r="M27" s="41"/>
      <c r="N27" s="15"/>
      <c r="O27" s="65">
        <v>64</v>
      </c>
      <c r="P27" s="19"/>
      <c r="Q27" s="19"/>
      <c r="R27" s="20"/>
    </row>
    <row r="28" spans="1:20" ht="12.75">
      <c r="A28" s="74"/>
      <c r="B28" s="75"/>
      <c r="C28" s="76"/>
      <c r="D28" s="77"/>
      <c r="E28" s="78"/>
      <c r="F28" s="76"/>
      <c r="G28" s="78"/>
      <c r="H28" s="79" t="str">
        <f t="shared" si="3"/>
        <v/>
      </c>
      <c r="I28" s="80" t="str">
        <f t="shared" si="0"/>
        <v/>
      </c>
      <c r="J28" s="512" t="str">
        <f t="shared" si="1"/>
        <v/>
      </c>
      <c r="K28" s="513"/>
      <c r="L28" s="81"/>
      <c r="M28" s="41"/>
      <c r="N28" s="15"/>
      <c r="O28" s="15"/>
      <c r="P28" s="15"/>
      <c r="Q28" s="15"/>
      <c r="R28" s="83"/>
    </row>
    <row r="29" spans="1:20" ht="12.75">
      <c r="A29" s="74"/>
      <c r="B29" s="75"/>
      <c r="C29" s="76"/>
      <c r="D29" s="77"/>
      <c r="E29" s="78"/>
      <c r="F29" s="76"/>
      <c r="G29" s="78"/>
      <c r="H29" s="79" t="str">
        <f t="shared" si="3"/>
        <v/>
      </c>
      <c r="I29" s="80" t="str">
        <f t="shared" si="0"/>
        <v/>
      </c>
      <c r="J29" s="512" t="str">
        <f t="shared" si="1"/>
        <v/>
      </c>
      <c r="K29" s="513"/>
      <c r="L29" s="81"/>
      <c r="M29" s="41"/>
      <c r="N29" s="15"/>
      <c r="O29" s="15"/>
      <c r="P29" s="15"/>
      <c r="Q29" s="15"/>
      <c r="R29" s="83"/>
    </row>
    <row r="30" spans="1:20" ht="12.75">
      <c r="A30" s="84"/>
      <c r="B30" s="85"/>
      <c r="C30" s="86"/>
      <c r="D30" s="87"/>
      <c r="E30" s="88"/>
      <c r="F30" s="86"/>
      <c r="G30" s="88"/>
      <c r="H30" s="89" t="str">
        <f t="shared" si="3"/>
        <v/>
      </c>
      <c r="I30" s="90" t="str">
        <f t="shared" si="0"/>
        <v/>
      </c>
      <c r="J30" s="514" t="str">
        <f t="shared" si="1"/>
        <v/>
      </c>
      <c r="K30" s="515"/>
      <c r="L30" s="91"/>
      <c r="M30" s="41"/>
      <c r="N30" s="15"/>
      <c r="O30" s="15"/>
      <c r="P30" s="15"/>
      <c r="Q30" s="15"/>
      <c r="R30" s="83"/>
    </row>
    <row r="31" spans="1:20" ht="12.75">
      <c r="A31" s="92"/>
      <c r="B31" s="44"/>
      <c r="C31" s="44"/>
      <c r="D31" s="45"/>
      <c r="E31" s="45"/>
      <c r="F31" s="45"/>
      <c r="G31" s="93"/>
      <c r="H31" s="45"/>
      <c r="I31" s="92"/>
      <c r="J31" s="92"/>
      <c r="K31" s="92"/>
      <c r="L31" s="40"/>
      <c r="M31" s="19"/>
      <c r="N31" s="15"/>
      <c r="O31" s="15"/>
      <c r="P31" s="15"/>
      <c r="Q31" s="15"/>
      <c r="R31" s="83"/>
      <c r="T31" t="s">
        <v>334</v>
      </c>
    </row>
    <row r="32" spans="1:20" ht="12.75">
      <c r="A32" s="94" t="s">
        <v>38</v>
      </c>
      <c r="B32" s="95"/>
      <c r="C32" s="95"/>
      <c r="D32" s="50"/>
      <c r="H32" s="50"/>
      <c r="I32" s="51"/>
      <c r="J32" s="51"/>
      <c r="K32" s="51"/>
      <c r="L32" s="18"/>
      <c r="M32" s="18"/>
      <c r="N32" s="15"/>
      <c r="O32" s="15"/>
      <c r="P32" s="15"/>
      <c r="Q32" s="15"/>
      <c r="R32" s="83"/>
    </row>
    <row r="33" spans="1:18" ht="17.25" customHeight="1">
      <c r="A33" s="505" t="s">
        <v>22</v>
      </c>
      <c r="B33" s="503" t="s">
        <v>39</v>
      </c>
      <c r="C33" s="508" t="s">
        <v>40</v>
      </c>
      <c r="D33" s="509"/>
      <c r="E33" s="510" t="s">
        <v>41</v>
      </c>
      <c r="F33" s="511"/>
      <c r="G33" s="511"/>
      <c r="H33" s="509"/>
      <c r="I33" s="510" t="s">
        <v>42</v>
      </c>
      <c r="J33" s="511"/>
      <c r="K33" s="509"/>
      <c r="L33" s="499" t="s">
        <v>43</v>
      </c>
      <c r="N33" s="19" t="s">
        <v>44</v>
      </c>
      <c r="O33" s="15"/>
      <c r="P33" s="15"/>
      <c r="Q33" s="15"/>
      <c r="R33" s="15"/>
    </row>
    <row r="34" spans="1:18" ht="17.25" customHeight="1">
      <c r="A34" s="500"/>
      <c r="B34" s="504"/>
      <c r="C34" s="96" t="s">
        <v>45</v>
      </c>
      <c r="D34" s="97" t="s">
        <v>46</v>
      </c>
      <c r="E34" s="63" t="s">
        <v>47</v>
      </c>
      <c r="F34" s="64" t="s">
        <v>48</v>
      </c>
      <c r="G34" s="98" t="s">
        <v>49</v>
      </c>
      <c r="H34" s="99" t="s">
        <v>50</v>
      </c>
      <c r="I34" s="100" t="s">
        <v>47</v>
      </c>
      <c r="J34" s="64" t="s">
        <v>46</v>
      </c>
      <c r="K34" s="99" t="s">
        <v>51</v>
      </c>
      <c r="L34" s="500"/>
      <c r="N34" s="19" t="s">
        <v>52</v>
      </c>
      <c r="O34" s="19" t="s">
        <v>53</v>
      </c>
      <c r="P34" s="15" t="s">
        <v>48</v>
      </c>
      <c r="Q34" s="15"/>
    </row>
    <row r="35" spans="1:18" ht="12.75">
      <c r="A35" s="101" t="str">
        <f>IF(A21="","",A21)</f>
        <v>ML1</v>
      </c>
      <c r="B35" s="67" t="s">
        <v>55</v>
      </c>
      <c r="C35" s="102">
        <v>14</v>
      </c>
      <c r="D35" s="103">
        <v>12</v>
      </c>
      <c r="E35" s="104">
        <v>5</v>
      </c>
      <c r="F35" s="105">
        <v>24</v>
      </c>
      <c r="G35" s="106">
        <v>2</v>
      </c>
      <c r="H35" s="107">
        <v>1</v>
      </c>
      <c r="I35" s="108">
        <v>5</v>
      </c>
      <c r="J35" s="105">
        <v>24</v>
      </c>
      <c r="K35" s="109">
        <v>2</v>
      </c>
      <c r="L35" s="110" t="str">
        <f ca="1">IF(A35="","", LINTEL1!$I$44)</f>
        <v>OK</v>
      </c>
      <c r="N35" s="19" t="str">
        <f t="shared" ref="N35:N44" si="4">IF(AND(E35&gt;6,G35&gt;1,D21="8"" CMU"),"ERROR","OK")</f>
        <v>OK</v>
      </c>
      <c r="O35" s="19" t="str">
        <f t="shared" ref="O35:O44" si="5">IF(AND(I35&gt;6,K35&gt;1,D21="8"" CMU"),"ERROR","OK")</f>
        <v>OK</v>
      </c>
      <c r="P35" s="15" t="str">
        <f t="shared" ref="P35:P44" si="6">IF(((C21-C35)*12)&lt;F35,"ERROR","OK")</f>
        <v>OK</v>
      </c>
      <c r="Q35" s="15"/>
    </row>
    <row r="36" spans="1:18" ht="12.75">
      <c r="A36" s="582" t="s">
        <v>355</v>
      </c>
      <c r="B36" s="112" t="s">
        <v>55</v>
      </c>
      <c r="C36" s="113">
        <v>7.3</v>
      </c>
      <c r="D36" s="114">
        <v>6.3</v>
      </c>
      <c r="E36" s="115">
        <v>5</v>
      </c>
      <c r="F36" s="116">
        <v>16</v>
      </c>
      <c r="G36" s="117">
        <v>2</v>
      </c>
      <c r="H36" s="118">
        <v>1</v>
      </c>
      <c r="I36" s="119">
        <v>5</v>
      </c>
      <c r="J36" s="105">
        <v>24</v>
      </c>
      <c r="K36" s="120">
        <v>2</v>
      </c>
      <c r="L36" s="121" t="str">
        <f ca="1">IF(A36="","", LINTEL2!$I$44)</f>
        <v>OK</v>
      </c>
      <c r="N36" s="19" t="str">
        <f t="shared" si="4"/>
        <v>OK</v>
      </c>
      <c r="O36" s="19" t="str">
        <f t="shared" si="5"/>
        <v>OK</v>
      </c>
      <c r="P36" s="15" t="str">
        <f t="shared" si="6"/>
        <v>OK</v>
      </c>
      <c r="Q36" s="15"/>
    </row>
    <row r="37" spans="1:18" ht="12.75">
      <c r="A37" s="111" t="str">
        <f t="shared" ref="A36:A44" si="7">IF(A23="","",A23)</f>
        <v/>
      </c>
      <c r="B37" s="112" t="s">
        <v>55</v>
      </c>
      <c r="C37" s="113">
        <v>14</v>
      </c>
      <c r="D37" s="114">
        <v>12</v>
      </c>
      <c r="E37" s="115">
        <v>6</v>
      </c>
      <c r="F37" s="116">
        <v>8</v>
      </c>
      <c r="G37" s="117">
        <v>2</v>
      </c>
      <c r="H37" s="118">
        <v>1</v>
      </c>
      <c r="I37" s="119">
        <v>6</v>
      </c>
      <c r="J37" s="105">
        <v>24</v>
      </c>
      <c r="K37" s="120">
        <v>1</v>
      </c>
      <c r="L37" s="121" t="str">
        <f>IF(A37="","", LINTEL3!$I$44)</f>
        <v/>
      </c>
      <c r="N37" s="19" t="str">
        <f t="shared" si="4"/>
        <v>OK</v>
      </c>
      <c r="O37" s="19" t="str">
        <f t="shared" si="5"/>
        <v>OK</v>
      </c>
      <c r="P37" s="15" t="str">
        <f t="shared" si="6"/>
        <v>ERROR</v>
      </c>
      <c r="Q37" s="15"/>
    </row>
    <row r="38" spans="1:18" ht="12.75">
      <c r="A38" s="111" t="str">
        <f t="shared" si="7"/>
        <v/>
      </c>
      <c r="B38" s="112"/>
      <c r="C38" s="113"/>
      <c r="D38" s="114"/>
      <c r="E38" s="115"/>
      <c r="F38" s="116"/>
      <c r="G38" s="117"/>
      <c r="H38" s="118"/>
      <c r="I38" s="119"/>
      <c r="J38" s="105"/>
      <c r="K38" s="120"/>
      <c r="L38" s="122" t="str">
        <f>IF(A38="","", LINTEL4!$I$44)</f>
        <v/>
      </c>
      <c r="N38" s="19" t="str">
        <f t="shared" si="4"/>
        <v>OK</v>
      </c>
      <c r="O38" s="19" t="str">
        <f t="shared" si="5"/>
        <v>OK</v>
      </c>
      <c r="P38" s="15" t="str">
        <f t="shared" si="6"/>
        <v>OK</v>
      </c>
      <c r="Q38" s="15"/>
    </row>
    <row r="39" spans="1:18" ht="12.75">
      <c r="A39" s="111" t="str">
        <f t="shared" si="7"/>
        <v/>
      </c>
      <c r="B39" s="112"/>
      <c r="C39" s="113"/>
      <c r="D39" s="114"/>
      <c r="E39" s="115"/>
      <c r="F39" s="116"/>
      <c r="G39" s="117"/>
      <c r="H39" s="118"/>
      <c r="I39" s="119"/>
      <c r="J39" s="105"/>
      <c r="K39" s="120"/>
      <c r="L39" s="122" t="str">
        <f>IF(A39="","", LINTEL5!$I$44)</f>
        <v/>
      </c>
      <c r="N39" s="19" t="str">
        <f t="shared" si="4"/>
        <v>OK</v>
      </c>
      <c r="O39" s="19" t="str">
        <f t="shared" si="5"/>
        <v>OK</v>
      </c>
      <c r="P39" s="15" t="str">
        <f t="shared" si="6"/>
        <v>OK</v>
      </c>
      <c r="Q39" s="15"/>
    </row>
    <row r="40" spans="1:18" ht="12.75">
      <c r="A40" s="111" t="str">
        <f t="shared" si="7"/>
        <v/>
      </c>
      <c r="B40" s="112"/>
      <c r="C40" s="113"/>
      <c r="D40" s="114"/>
      <c r="E40" s="115"/>
      <c r="F40" s="116"/>
      <c r="G40" s="117"/>
      <c r="H40" s="118"/>
      <c r="I40" s="119"/>
      <c r="J40" s="105"/>
      <c r="K40" s="120"/>
      <c r="L40" s="122" t="str">
        <f>IF(A40="","", LINTEL6!$I$44)</f>
        <v/>
      </c>
      <c r="N40" s="19" t="str">
        <f t="shared" si="4"/>
        <v>OK</v>
      </c>
      <c r="O40" s="19" t="str">
        <f t="shared" si="5"/>
        <v>OK</v>
      </c>
      <c r="P40" s="15" t="str">
        <f t="shared" si="6"/>
        <v>OK</v>
      </c>
      <c r="Q40" s="15"/>
    </row>
    <row r="41" spans="1:18" ht="12.75">
      <c r="A41" s="111" t="str">
        <f t="shared" si="7"/>
        <v/>
      </c>
      <c r="B41" s="112"/>
      <c r="C41" s="113"/>
      <c r="D41" s="114"/>
      <c r="E41" s="115"/>
      <c r="F41" s="116"/>
      <c r="G41" s="117"/>
      <c r="H41" s="118"/>
      <c r="I41" s="119"/>
      <c r="J41" s="105"/>
      <c r="K41" s="120"/>
      <c r="L41" s="122" t="str">
        <f>IF(A41="","", LINTEL7!$I$44)</f>
        <v/>
      </c>
      <c r="N41" s="19" t="str">
        <f t="shared" si="4"/>
        <v>OK</v>
      </c>
      <c r="O41" s="19" t="str">
        <f t="shared" si="5"/>
        <v>OK</v>
      </c>
      <c r="P41" s="15" t="str">
        <f t="shared" si="6"/>
        <v>OK</v>
      </c>
      <c r="Q41" s="15"/>
    </row>
    <row r="42" spans="1:18" ht="12.75">
      <c r="A42" s="111" t="str">
        <f t="shared" si="7"/>
        <v/>
      </c>
      <c r="B42" s="112"/>
      <c r="C42" s="113"/>
      <c r="D42" s="114"/>
      <c r="E42" s="115"/>
      <c r="F42" s="116"/>
      <c r="G42" s="117"/>
      <c r="H42" s="118"/>
      <c r="I42" s="119"/>
      <c r="J42" s="105"/>
      <c r="K42" s="120"/>
      <c r="L42" s="122" t="str">
        <f>IF(A42="","", LINTEL8!$I$44)</f>
        <v/>
      </c>
      <c r="N42" s="19" t="str">
        <f t="shared" si="4"/>
        <v>OK</v>
      </c>
      <c r="O42" s="19" t="str">
        <f t="shared" si="5"/>
        <v>OK</v>
      </c>
      <c r="P42" s="15" t="str">
        <f t="shared" si="6"/>
        <v>OK</v>
      </c>
      <c r="Q42" s="15"/>
    </row>
    <row r="43" spans="1:18" ht="12.75">
      <c r="A43" s="111" t="str">
        <f t="shared" si="7"/>
        <v/>
      </c>
      <c r="B43" s="112"/>
      <c r="C43" s="113"/>
      <c r="D43" s="114"/>
      <c r="E43" s="115"/>
      <c r="F43" s="116"/>
      <c r="G43" s="117"/>
      <c r="H43" s="118"/>
      <c r="I43" s="119"/>
      <c r="J43" s="105"/>
      <c r="K43" s="120"/>
      <c r="L43" s="122" t="str">
        <f>IF(A43="","", LINTEL9!$I$44)</f>
        <v/>
      </c>
      <c r="N43" s="19" t="str">
        <f t="shared" si="4"/>
        <v>OK</v>
      </c>
      <c r="O43" s="19" t="str">
        <f t="shared" si="5"/>
        <v>OK</v>
      </c>
      <c r="P43" s="15" t="str">
        <f t="shared" si="6"/>
        <v>OK</v>
      </c>
      <c r="Q43" s="15"/>
    </row>
    <row r="44" spans="1:18" ht="13.5" thickBot="1">
      <c r="A44" s="123" t="str">
        <f t="shared" si="7"/>
        <v/>
      </c>
      <c r="B44" s="124"/>
      <c r="C44" s="125"/>
      <c r="D44" s="126"/>
      <c r="E44" s="127"/>
      <c r="F44" s="128"/>
      <c r="G44" s="129"/>
      <c r="H44" s="130"/>
      <c r="I44" s="131"/>
      <c r="J44" s="132"/>
      <c r="K44" s="133"/>
      <c r="L44" s="134" t="str">
        <f>IF(A44="","", LINTEL10!$I$44)</f>
        <v/>
      </c>
      <c r="N44" s="19" t="str">
        <f t="shared" si="4"/>
        <v>OK</v>
      </c>
      <c r="O44" s="19" t="str">
        <f t="shared" si="5"/>
        <v>OK</v>
      </c>
      <c r="P44" s="15" t="str">
        <f t="shared" si="6"/>
        <v>OK</v>
      </c>
      <c r="Q44" s="15"/>
    </row>
    <row r="45" spans="1:18" ht="17.25" customHeight="1">
      <c r="A45" s="92"/>
      <c r="B45" s="40"/>
      <c r="C45" s="40"/>
      <c r="D45" s="135"/>
      <c r="E45" s="135"/>
      <c r="F45" s="136"/>
      <c r="G45" s="40"/>
      <c r="H45" s="136"/>
      <c r="I45" s="136"/>
      <c r="J45" s="136"/>
      <c r="K45" s="136"/>
      <c r="L45" s="40"/>
      <c r="M45" s="19"/>
      <c r="N45" s="19"/>
      <c r="O45" s="19"/>
      <c r="P45" s="20"/>
      <c r="Q45" s="19"/>
    </row>
  </sheetData>
  <mergeCells count="37">
    <mergeCell ref="J4:K4"/>
    <mergeCell ref="A6:C6"/>
    <mergeCell ref="G7:H7"/>
    <mergeCell ref="A8:B8"/>
    <mergeCell ref="A9:B9"/>
    <mergeCell ref="J28:K28"/>
    <mergeCell ref="A10:B10"/>
    <mergeCell ref="A13:B13"/>
    <mergeCell ref="D19:D20"/>
    <mergeCell ref="E19:E20"/>
    <mergeCell ref="F19:F20"/>
    <mergeCell ref="J27:K27"/>
    <mergeCell ref="G19:G20"/>
    <mergeCell ref="H19:K19"/>
    <mergeCell ref="J25:K25"/>
    <mergeCell ref="J26:K26"/>
    <mergeCell ref="L19:L20"/>
    <mergeCell ref="J20:K20"/>
    <mergeCell ref="J22:K22"/>
    <mergeCell ref="J23:K23"/>
    <mergeCell ref="J24:K24"/>
    <mergeCell ref="L33:L34"/>
    <mergeCell ref="A14:B14"/>
    <mergeCell ref="A15:B15"/>
    <mergeCell ref="A16:B16"/>
    <mergeCell ref="A17:B17"/>
    <mergeCell ref="A19:A20"/>
    <mergeCell ref="B19:B20"/>
    <mergeCell ref="C19:C20"/>
    <mergeCell ref="A33:A34"/>
    <mergeCell ref="B33:B34"/>
    <mergeCell ref="C33:D33"/>
    <mergeCell ref="E33:H33"/>
    <mergeCell ref="I33:K33"/>
    <mergeCell ref="J29:K29"/>
    <mergeCell ref="J30:K30"/>
    <mergeCell ref="J21:K21"/>
  </mergeCells>
  <conditionalFormatting sqref="C8:D8 D9 C10 C14:C15 E14:E15 H21:K30 A35:A44">
    <cfRule type="expression" dxfId="103" priority="13">
      <formula>_xludf.isformula(H21)=FALSE</formula>
    </cfRule>
  </conditionalFormatting>
  <conditionalFormatting sqref="E35:E44 I35:I44">
    <cfRule type="cellIs" dxfId="102" priority="9" operator="greaterThan">
      <formula>7</formula>
    </cfRule>
  </conditionalFormatting>
  <conditionalFormatting sqref="F35:F44">
    <cfRule type="expression" dxfId="101" priority="7">
      <formula>P35="ERROR"</formula>
    </cfRule>
  </conditionalFormatting>
  <conditionalFormatting sqref="G8">
    <cfRule type="cellIs" dxfId="100" priority="4" operator="lessThan">
      <formula>1500</formula>
    </cfRule>
    <cfRule type="cellIs" dxfId="99" priority="5" operator="greaterThan">
      <formula>4000</formula>
    </cfRule>
  </conditionalFormatting>
  <conditionalFormatting sqref="G35:G44">
    <cfRule type="expression" dxfId="98" priority="10">
      <formula>N35="ERROR"</formula>
    </cfRule>
  </conditionalFormatting>
  <conditionalFormatting sqref="H8">
    <cfRule type="notContainsBlanks" dxfId="97" priority="1">
      <formula>LEN(TRIM(H8))&gt;0</formula>
    </cfRule>
  </conditionalFormatting>
  <conditionalFormatting sqref="H35:H44">
    <cfRule type="cellIs" dxfId="96" priority="11" operator="greaterThan">
      <formula>2</formula>
    </cfRule>
  </conditionalFormatting>
  <conditionalFormatting sqref="J35:J44">
    <cfRule type="expression" dxfId="95" priority="6">
      <formula>Q35="ERROR"</formula>
    </cfRule>
  </conditionalFormatting>
  <conditionalFormatting sqref="K35:K44">
    <cfRule type="expression" dxfId="94" priority="12">
      <formula>O35="ERROR"</formula>
    </cfRule>
  </conditionalFormatting>
  <conditionalFormatting sqref="L35:L44">
    <cfRule type="cellIs" dxfId="93" priority="2" operator="equal">
      <formula>"OK"</formula>
    </cfRule>
    <cfRule type="cellIs" dxfId="92" priority="3" operator="equal">
      <formula>"FAILS"</formula>
    </cfRule>
    <cfRule type="expression" dxfId="91" priority="8">
      <formula>ISNA(L35)</formula>
    </cfRule>
    <cfRule type="expression" dxfId="90" priority="14">
      <formula>ISERR(L35)</formula>
    </cfRule>
  </conditionalFormatting>
  <dataValidations count="4">
    <dataValidation type="list" allowBlank="1" sqref="B21:B30" xr:uid="{00000000-0002-0000-0000-000000000000}">
      <formula1>$A$14:$B$17</formula1>
    </dataValidation>
    <dataValidation type="list" allowBlank="1" sqref="K35:K44 G35:G44 L21:L30" xr:uid="{00000000-0002-0000-0000-000003000000}">
      <formula1>"1,2"</formula1>
    </dataValidation>
    <dataValidation type="list" allowBlank="1" sqref="G10:G11" xr:uid="{00000000-0002-0000-0000-000004000000}">
      <formula1>"Y,N"</formula1>
    </dataValidation>
    <dataValidation type="list" allowBlank="1" sqref="F35:F44 J35:J44" xr:uid="{00000000-0002-0000-0000-000005000000}">
      <formula1>$O$20:$O$27</formula1>
    </dataValidation>
  </dataValidations>
  <pageMargins left="0.7" right="0.7" top="0.75" bottom="0.75" header="0.3" footer="0.3"/>
  <pageSetup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1000000}">
          <x14:formula1>
            <xm:f>LINTEL1!$X$14:$X$19</xm:f>
          </x14:formula1>
          <xm:sqref>B35:B44</xm:sqref>
        </x14:dataValidation>
        <x14:dataValidation type="list" allowBlank="1" xr:uid="{00000000-0002-0000-0000-000002000000}">
          <x14:formula1>
            <xm:f>LINTEL1!$X$6:$X$8</xm:f>
          </x14:formula1>
          <xm:sqref>D21:D30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</row>
    <row r="2" spans="1:48" ht="15.75" customHeight="1">
      <c r="A2" s="572" t="str">
        <f>MODULEINPUT!$A$3&amp; ": LINTEL DESIGN FOR "&amp;MODULEINPUT!A28</f>
        <v xml:space="preserve">CREECH DRP PH2 - LEVEL 2 OPENING: LINTEL DESIGN FOR 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LINTEL8!$F6</f>
        <v>0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</row>
    <row r="4" spans="1:48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LINTEL8!$C6</f>
        <v>0</v>
      </c>
      <c r="N4" s="185" t="s">
        <v>87</v>
      </c>
      <c r="O4" s="185"/>
      <c r="P4" s="186" t="s">
        <v>88</v>
      </c>
      <c r="Q4" s="194">
        <f>LINTEL8!$F7</f>
        <v>0</v>
      </c>
      <c r="R4" s="185"/>
      <c r="S4" s="185"/>
      <c r="T4" s="186" t="s">
        <v>89</v>
      </c>
      <c r="U4" s="195" t="str">
        <f>LINTEL8!$I6</f>
        <v/>
      </c>
      <c r="V4" s="185" t="s">
        <v>90</v>
      </c>
      <c r="W4" s="188"/>
      <c r="X4" s="196">
        <f>LINTEL8!$C7</f>
        <v>0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 t="e">
        <f>Z9</f>
        <v>#N/A</v>
      </c>
      <c r="N5" s="185" t="s">
        <v>82</v>
      </c>
      <c r="O5" s="185"/>
      <c r="P5" s="186" t="s">
        <v>96</v>
      </c>
      <c r="Q5" s="202">
        <f>LINTEL8!$F8</f>
        <v>0</v>
      </c>
      <c r="R5" s="185"/>
      <c r="S5" s="185"/>
      <c r="T5" s="203" t="s">
        <v>97</v>
      </c>
      <c r="U5" s="195" t="str">
        <f>LINTEL8!$I7</f>
        <v/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86</v>
      </c>
      <c r="C6" s="208">
        <f>MODULEINPUT!C28</f>
        <v>0</v>
      </c>
      <c r="D6" s="19"/>
      <c r="E6" s="17" t="s">
        <v>81</v>
      </c>
      <c r="F6" s="209">
        <f>MODULEINPUT!F42</f>
        <v>0</v>
      </c>
      <c r="G6" s="573" t="e">
        <f>IF(AJ19="FAIL","As &gt; As,max " &amp; AK19,"")</f>
        <v>#N/A</v>
      </c>
      <c r="H6" s="17" t="s">
        <v>89</v>
      </c>
      <c r="I6" s="210" t="str">
        <f>MODULEINPUT!H28</f>
        <v/>
      </c>
      <c r="J6" s="18"/>
      <c r="K6" s="185"/>
      <c r="L6" s="186" t="s">
        <v>102</v>
      </c>
      <c r="M6" s="193">
        <f>LINTEL8!$C8</f>
        <v>0</v>
      </c>
      <c r="N6" s="185" t="s">
        <v>87</v>
      </c>
      <c r="O6" s="185"/>
      <c r="P6" s="211" t="s">
        <v>103</v>
      </c>
      <c r="Q6" s="212">
        <f>F9</f>
        <v>0</v>
      </c>
      <c r="R6" s="175"/>
      <c r="S6" s="185"/>
      <c r="T6" s="203" t="s">
        <v>104</v>
      </c>
      <c r="U6" s="195" t="str">
        <f>LINTEL8!$I8</f>
        <v/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105</v>
      </c>
      <c r="C7" s="214">
        <f>MODULEINPUT!D28</f>
        <v>0</v>
      </c>
      <c r="D7" s="19"/>
      <c r="E7" s="17" t="s">
        <v>88</v>
      </c>
      <c r="F7" s="215">
        <f>MODULEINPUT!G42*F9</f>
        <v>0</v>
      </c>
      <c r="G7" s="574"/>
      <c r="H7" s="17" t="s">
        <v>97</v>
      </c>
      <c r="I7" s="216" t="str">
        <f>MODULEINPUT!I28</f>
        <v/>
      </c>
      <c r="J7" s="18"/>
      <c r="K7" s="185"/>
      <c r="L7" s="186" t="s">
        <v>106</v>
      </c>
      <c r="M7" s="193">
        <f>LINTEL8!$C9</f>
        <v>0</v>
      </c>
      <c r="N7" s="185" t="s">
        <v>87</v>
      </c>
      <c r="O7" s="185"/>
      <c r="P7" s="186" t="s">
        <v>107</v>
      </c>
      <c r="Q7" s="217">
        <f>LINTEL8!$F11</f>
        <v>0</v>
      </c>
      <c r="R7" s="185" t="s">
        <v>82</v>
      </c>
      <c r="S7" s="185"/>
      <c r="T7" s="203" t="s">
        <v>108</v>
      </c>
      <c r="U7" s="218">
        <f>LINTEL8!$I9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102</v>
      </c>
      <c r="C8" s="219">
        <f>MODULEINPUT!C42</f>
        <v>0</v>
      </c>
      <c r="D8" s="19"/>
      <c r="E8" s="17" t="s">
        <v>96</v>
      </c>
      <c r="F8" s="220">
        <f>MODULEINPUT!E42</f>
        <v>0</v>
      </c>
      <c r="G8" s="575"/>
      <c r="H8" s="17" t="s">
        <v>104</v>
      </c>
      <c r="I8" s="216" t="str">
        <f>MODULEINPUT!J28</f>
        <v/>
      </c>
      <c r="J8" s="18"/>
      <c r="K8" s="185"/>
      <c r="L8" s="186" t="s">
        <v>110</v>
      </c>
      <c r="M8" s="193">
        <f>LINTEL8!$C10-0.0000001</f>
        <v>-9.9999999999999995E-8</v>
      </c>
      <c r="N8" s="185" t="s">
        <v>87</v>
      </c>
      <c r="O8" s="185"/>
      <c r="P8" s="186" t="s">
        <v>111</v>
      </c>
      <c r="Q8" s="217" t="e">
        <f>LINTEL8!$F12</f>
        <v>#N/A</v>
      </c>
      <c r="R8" s="185" t="s">
        <v>82</v>
      </c>
      <c r="S8" s="185"/>
      <c r="T8" s="203" t="s">
        <v>112</v>
      </c>
      <c r="U8" s="218" t="e">
        <f ca="1">LINTEL8!$I10</f>
        <v>#N/A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106</v>
      </c>
      <c r="C9" s="219">
        <f>MODULEINPUT!D42</f>
        <v>0</v>
      </c>
      <c r="D9" s="19"/>
      <c r="E9" s="17" t="s">
        <v>103</v>
      </c>
      <c r="F9" s="221">
        <f>MODULEINPUT!H42</f>
        <v>0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 t="e">
        <f>Z20</f>
        <v>#N/A</v>
      </c>
      <c r="N9" s="185" t="s">
        <v>115</v>
      </c>
      <c r="O9" s="185"/>
      <c r="P9" s="186" t="s">
        <v>116</v>
      </c>
      <c r="Q9" s="194">
        <f>LINTEL8!$F13</f>
        <v>0</v>
      </c>
      <c r="R9" s="185"/>
      <c r="S9" s="185"/>
      <c r="T9" s="203" t="s">
        <v>13</v>
      </c>
      <c r="U9" s="185" t="b">
        <f>IF(LINTEL8!$I11="y",TRUE,FALSE)</f>
        <v>1</v>
      </c>
      <c r="V9" s="185"/>
      <c r="W9" s="188"/>
      <c r="X9" s="224" t="s">
        <v>117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110</v>
      </c>
      <c r="C10" s="219">
        <f>MODULEINPUT!E28</f>
        <v>0</v>
      </c>
      <c r="D10" s="19"/>
      <c r="E10" s="19"/>
      <c r="F10" s="40"/>
      <c r="G10" s="19"/>
      <c r="H10" s="17" t="s">
        <v>112</v>
      </c>
      <c r="I10" s="222" t="e">
        <f ca="1">M22</f>
        <v>#N/A</v>
      </c>
      <c r="J10" s="18"/>
      <c r="K10" s="185"/>
      <c r="L10" s="186" t="s">
        <v>118</v>
      </c>
      <c r="M10" s="226">
        <f>LINTEL8!$C12</f>
        <v>2000</v>
      </c>
      <c r="N10" s="185" t="s">
        <v>119</v>
      </c>
      <c r="O10" s="185"/>
      <c r="P10" s="186" t="s">
        <v>96</v>
      </c>
      <c r="Q10" s="202">
        <f>LINTEL8!$F14</f>
        <v>0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122</v>
      </c>
      <c r="C11" s="228">
        <f>MODULEINPUT!B42</f>
        <v>0</v>
      </c>
      <c r="D11" s="19"/>
      <c r="E11" s="17" t="s">
        <v>107</v>
      </c>
      <c r="F11" s="209">
        <f>MODULEINPUT!J42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MODULEINPUT!K42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 t="e">
        <f>IF(MODULEINPUT!K42=1,M5/2,M5-2-F14/16)</f>
        <v>#N/A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>
        <f>LINTEL8!$C11</f>
        <v>0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116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96</v>
      </c>
      <c r="F14" s="220">
        <f>MODULEINPUT!I42</f>
        <v>0</v>
      </c>
      <c r="G14" s="19"/>
      <c r="H14" s="19"/>
      <c r="I14" s="19"/>
      <c r="J14" s="18"/>
      <c r="K14" s="185"/>
      <c r="L14" s="175"/>
      <c r="M14" s="186" t="s">
        <v>131</v>
      </c>
      <c r="N14" s="246" t="e">
        <f>M4*12/M5</f>
        <v>#N/A</v>
      </c>
      <c r="O14" s="185" t="s">
        <v>132</v>
      </c>
      <c r="P14" s="185"/>
      <c r="Q14" s="185"/>
      <c r="R14" s="211" t="s">
        <v>133</v>
      </c>
      <c r="S14" s="247" t="e">
        <f>(M9/2-4+Q7)/12</f>
        <v>#N/A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 t="e">
        <f>AC21</f>
        <v>#N/A</v>
      </c>
      <c r="O15" s="185" t="s">
        <v>109</v>
      </c>
      <c r="P15" s="185"/>
      <c r="Q15" s="185"/>
      <c r="R15" s="211" t="s">
        <v>141</v>
      </c>
      <c r="S15" s="247">
        <f>M7/2</f>
        <v>0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 t="e">
        <f>LINTEL8!$B23</f>
        <v>#VALUE!</v>
      </c>
      <c r="AH15" s="254" t="s">
        <v>143</v>
      </c>
      <c r="AI15" s="253" t="e">
        <f>LINTEL8!$D23</f>
        <v>#N/A</v>
      </c>
      <c r="AJ15" s="255" t="e">
        <f>AB86</f>
        <v>#N/A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 t="e">
        <f>AA9</f>
        <v>#N/A</v>
      </c>
      <c r="O16" s="185" t="s">
        <v>109</v>
      </c>
      <c r="P16" s="185"/>
      <c r="Q16" s="185"/>
      <c r="R16" s="186" t="s">
        <v>147</v>
      </c>
      <c r="S16" s="246" t="e">
        <f>N18+N17*S15+U4*S15</f>
        <v>#N/A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 t="e">
        <f>LINTEL8!$B24</f>
        <v>#VALUE!</v>
      </c>
      <c r="AH16" s="254" t="s">
        <v>151</v>
      </c>
      <c r="AI16" s="260" t="e">
        <f>LINTEL8!$D24</f>
        <v>#VALUE!</v>
      </c>
      <c r="AJ16" s="255" t="e">
        <f>AB79</f>
        <v>#VALUE!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</row>
    <row r="17" spans="1:48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 t="e">
        <f>(M4-M6-Q3/12)*N15+Q3/12*N16</f>
        <v>#N/A</v>
      </c>
      <c r="O17" s="185" t="s">
        <v>90</v>
      </c>
      <c r="P17" s="185"/>
      <c r="Q17" s="185"/>
      <c r="R17" s="186" t="s">
        <v>154</v>
      </c>
      <c r="S17" s="185" t="e">
        <f>U5*S15</f>
        <v>#VALUE!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 t="e">
        <f>1.3*Y91/1000</f>
        <v>#N/A</v>
      </c>
      <c r="AH17" s="254" t="s">
        <v>157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158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 t="e">
        <f>AA9*Q7/12*M4</f>
        <v>#N/A</v>
      </c>
      <c r="O18" s="185" t="s">
        <v>148</v>
      </c>
      <c r="P18" s="185"/>
      <c r="Q18" s="185"/>
      <c r="R18" s="186" t="s">
        <v>160</v>
      </c>
      <c r="S18" s="185" t="e">
        <f>U6*(S15+Q7/12)</f>
        <v>#VALUE!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 t="e">
        <f>Y106</f>
        <v>#VALUE!</v>
      </c>
      <c r="AH18" s="269" t="s">
        <v>163</v>
      </c>
      <c r="AI18" s="268">
        <f>Y105</f>
        <v>0</v>
      </c>
      <c r="AJ18" s="255" t="e">
        <f>AB106</f>
        <v>#VALUE!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164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 t="e">
        <f>S14*U7</f>
        <v>#N/A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 t="e">
        <f>Y94</f>
        <v>#N/A</v>
      </c>
      <c r="AH19" s="269" t="s">
        <v>168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169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MODULEINPUT!B28</f>
        <v>0</v>
      </c>
      <c r="N20" s="175"/>
      <c r="O20" s="175"/>
      <c r="P20" s="185"/>
      <c r="Q20" s="185"/>
      <c r="R20" s="186" t="s">
        <v>171</v>
      </c>
      <c r="S20" s="175">
        <f>U7*S15</f>
        <v>0</v>
      </c>
      <c r="T20" s="266" t="s">
        <v>172</v>
      </c>
      <c r="U20" s="185"/>
      <c r="V20" s="185"/>
      <c r="W20" s="188"/>
      <c r="X20" s="225" t="s">
        <v>117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173</v>
      </c>
      <c r="AG20" s="260" t="e">
        <f>AG16</f>
        <v>#VALUE!</v>
      </c>
      <c r="AH20" s="269" t="s">
        <v>174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175</v>
      </c>
      <c r="S21" s="247" t="e">
        <f ca="1">S14*U8</f>
        <v>#N/A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48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 t="e">
        <f ca="1">MODULEINPUT!P5*M21</f>
        <v>#N/A</v>
      </c>
      <c r="N22" s="185"/>
      <c r="O22" s="185"/>
      <c r="P22" s="185"/>
      <c r="Q22" s="185"/>
      <c r="R22" s="186" t="s">
        <v>178</v>
      </c>
      <c r="S22" s="175" t="e">
        <f ca="1">U8*S15</f>
        <v>#N/A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48" ht="15.75" customHeight="1">
      <c r="A23" s="17" t="s">
        <v>142</v>
      </c>
      <c r="B23" s="281" t="e">
        <f t="shared" ref="B23:B24" si="3">Y59/1000</f>
        <v>#VALUE!</v>
      </c>
      <c r="C23" s="17" t="s">
        <v>143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150</v>
      </c>
      <c r="B24" s="287" t="e">
        <f t="shared" si="3"/>
        <v>#VALUE!</v>
      </c>
      <c r="C24" s="17" t="s">
        <v>151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 t="e">
        <f ca="1">LINTEL8!$B31</f>
        <v>#N/A</v>
      </c>
      <c r="AH24" s="254" t="s">
        <v>143</v>
      </c>
      <c r="AI24" s="253" t="e">
        <f>LINTEL8!$D31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 t="e">
        <f ca="1">LINTEL8!$B32</f>
        <v>#N/A</v>
      </c>
      <c r="AH25" s="254" t="s">
        <v>143</v>
      </c>
      <c r="AI25" s="253" t="e">
        <f>LINTEL8!$D32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184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 t="e">
        <f ca="1">LINTEL8!$B33</f>
        <v>#N/A</v>
      </c>
      <c r="AH26" s="254" t="s">
        <v>151</v>
      </c>
      <c r="AI26" s="260" t="e">
        <f ca="1">LINTEL8!$D33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188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 t="e">
        <f>LINTEL8!$B34</f>
        <v>#N/A</v>
      </c>
      <c r="AH27" s="299" t="s">
        <v>192</v>
      </c>
      <c r="AI27" s="298" t="e">
        <f>LINTEL8!$D34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72" t="e">
        <f>IF(AJ17="FAIL",AK17,IF(AJ18="FAIL","Deflection Fails",IF(AJ20="FAIL",AK20,"")))</f>
        <v>#N/A</v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 t="e">
        <f>1*S19</f>
        <v>#N/A</v>
      </c>
      <c r="N28" s="207">
        <f>1*S20</f>
        <v>0</v>
      </c>
      <c r="O28" s="185"/>
      <c r="P28" s="207"/>
      <c r="Q28" s="305" t="s">
        <v>181</v>
      </c>
      <c r="R28" s="306" t="e">
        <f ca="1">S145</f>
        <v>#N/A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90</v>
      </c>
      <c r="P29" s="207"/>
      <c r="Q29" s="312" t="s">
        <v>183</v>
      </c>
      <c r="R29" s="313" t="e">
        <f t="shared" ref="R29:R30" ca="1" si="11">S147</f>
        <v>#N/A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 t="e">
        <f t="shared" ca="1" si="11"/>
        <v>#N/A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181</v>
      </c>
      <c r="B31" s="319" t="e">
        <f t="shared" ref="B31:B34" ca="1" si="12">M86/1000</f>
        <v>#N/A</v>
      </c>
      <c r="C31" s="318" t="s">
        <v>143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183</v>
      </c>
      <c r="B32" s="319" t="e">
        <f t="shared" ca="1" si="12"/>
        <v>#N/A</v>
      </c>
      <c r="C32" s="318" t="s">
        <v>143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 t="e">
        <f>(VLOOKUP(Q10,X26:Y32,2,FALSE))*Q9</f>
        <v>#N/A</v>
      </c>
      <c r="N32" s="266" t="s">
        <v>198</v>
      </c>
      <c r="O32" s="320" t="s">
        <v>199</v>
      </c>
      <c r="P32" s="321" t="e">
        <f>0.8*M35</f>
        <v>#N/A</v>
      </c>
      <c r="Q32" s="186"/>
      <c r="R32" s="313"/>
      <c r="S32" s="207"/>
      <c r="T32" s="186" t="s">
        <v>200</v>
      </c>
      <c r="U32" s="313" t="e">
        <f>(0.8*M10*P32*P33*(M34-P32/2))/12</f>
        <v>#N/A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150</v>
      </c>
      <c r="B33" s="324" t="e">
        <f t="shared" ca="1" si="12"/>
        <v>#N/A</v>
      </c>
      <c r="C33" s="318" t="s">
        <v>151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0</v>
      </c>
      <c r="Q33" s="186"/>
      <c r="R33" s="313"/>
      <c r="S33" s="207"/>
      <c r="T33" s="186" t="s">
        <v>203</v>
      </c>
      <c r="U33" s="313" t="e">
        <f>(M32*M33*(M34-P32/2))/12</f>
        <v>#N/A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 t="e">
        <f t="shared" si="12"/>
        <v>#N/A</v>
      </c>
      <c r="C34" s="318" t="s">
        <v>192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 t="e">
        <f>Q8</f>
        <v>#N/A</v>
      </c>
      <c r="N34" s="266" t="s">
        <v>205</v>
      </c>
      <c r="O34" s="320" t="s">
        <v>206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 t="e">
        <f>(0.0025/(0.0025+0.002069))*M34</f>
        <v>#N/A</v>
      </c>
      <c r="N35" s="266" t="s">
        <v>82</v>
      </c>
      <c r="O35" s="326" t="s">
        <v>157</v>
      </c>
      <c r="P35" s="327" t="e">
        <f>MIN(U32:U33)</f>
        <v>#N/A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ROUND(LINTEL8!F6/8,0)</f>
        <v>0</v>
      </c>
      <c r="D39" s="40" t="str">
        <f>""</f>
        <v/>
      </c>
      <c r="E39" s="40"/>
      <c r="F39" s="40"/>
      <c r="G39" s="93" t="s">
        <v>214</v>
      </c>
      <c r="H39" s="44">
        <f>ROUND(LINTEL8!F11/8,0)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CONCATENATE("(",LINTEL8!F7,")"," #",LINTEL8!F8)</f>
        <v>(0) #0</v>
      </c>
      <c r="D40" s="19"/>
      <c r="E40" s="19"/>
      <c r="F40" s="19"/>
      <c r="G40" s="17" t="s">
        <v>217</v>
      </c>
      <c r="H40" s="15" t="str">
        <f>CONCATENATE("(", IF(Q11=2,LINTEL8!F13*2,LINTEL8!F13),")"," #",LINTEL8!F14)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0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219</v>
      </c>
      <c r="D41" s="15" t="s">
        <v>220</v>
      </c>
      <c r="E41" s="19"/>
      <c r="F41" s="19"/>
      <c r="G41" s="17" t="s">
        <v>221</v>
      </c>
      <c r="H41" s="347" t="e">
        <f>LINTEL8!F12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125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0.66666666666666663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 t="e">
        <f>(Y44-Q3/12)*N15+Q3/12*N16</f>
        <v>#N/A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228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229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230</v>
      </c>
      <c r="Y49" s="362" t="e">
        <f>IF(Y43="No",U4+N17,Y45)</f>
        <v>#VALUE!</v>
      </c>
      <c r="Z49" s="266" t="s">
        <v>90</v>
      </c>
      <c r="AA49" s="363" t="s">
        <v>231</v>
      </c>
      <c r="AB49" s="364" t="e">
        <f>SUM(Y49:Y51)</f>
        <v>#VALUE!</v>
      </c>
      <c r="AC49" s="365" t="s">
        <v>90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232</v>
      </c>
      <c r="Y50" s="362" t="str">
        <f>IF(Y43="No",U5,0)</f>
        <v/>
      </c>
      <c r="Z50" s="266" t="s">
        <v>90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78"/>
      <c r="T51" s="579"/>
      <c r="U51" s="579"/>
      <c r="V51" s="580"/>
      <c r="W51" s="231"/>
      <c r="X51" s="207" t="s">
        <v>233</v>
      </c>
      <c r="Y51" s="362" t="str">
        <f>IF(Y43="No",U6,0)</f>
        <v/>
      </c>
      <c r="Z51" s="266" t="s">
        <v>90</v>
      </c>
      <c r="AA51" s="370" t="s">
        <v>234</v>
      </c>
      <c r="AB51" s="371" t="e">
        <f>AB49*(Y40^2)/8</f>
        <v>#VALUE!</v>
      </c>
      <c r="AC51" s="368" t="s">
        <v>235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236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191</v>
      </c>
      <c r="M55" s="379" t="e">
        <f>1.2*S16+1.6*(MAX(S17:S18))+0.8*(MIN(S17:S18))</f>
        <v>#N/A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 t="e">
        <f>1.2*Y49+1.6*Y50+0.5*Y51</f>
        <v>#VALUE!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240</v>
      </c>
      <c r="M56" s="185" t="e">
        <f>Q7*M5</f>
        <v>#N/A</v>
      </c>
      <c r="N56" s="185" t="s">
        <v>198</v>
      </c>
      <c r="O56" s="175"/>
      <c r="P56" s="211" t="s">
        <v>241</v>
      </c>
      <c r="Q56" s="381" t="e">
        <f>0.8*(0.8*M10*(M56-M32)+(M33*M32))*(1-(M59/140)^2)</f>
        <v>#N/A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 t="e">
        <f>1.2*Y49+1.6*Y51+Z54*Y50</f>
        <v>#VALUE!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244</v>
      </c>
      <c r="M57" s="265" t="e">
        <f>Q7*M5^3/12</f>
        <v>#N/A</v>
      </c>
      <c r="N57" s="185" t="s">
        <v>245</v>
      </c>
      <c r="O57" s="175"/>
      <c r="P57" s="211" t="s">
        <v>241</v>
      </c>
      <c r="Q57" s="381" t="e">
        <f>0.8*(0.8*M10*(M56-M32)+(M33*M32))*(70/M59)^2</f>
        <v>#N/A</v>
      </c>
      <c r="R57" s="175" t="s">
        <v>246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247</v>
      </c>
      <c r="M58" s="246" t="e">
        <f>SQRT(M57/M56)</f>
        <v>#N/A</v>
      </c>
      <c r="N58" s="185"/>
      <c r="O58" s="175"/>
      <c r="P58" s="384" t="s">
        <v>241</v>
      </c>
      <c r="Q58" s="385" t="e">
        <f>IF(M59&lt;99,Q56,Q57)</f>
        <v>#N/A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248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 t="e">
        <f>(Y57*Y40^2)/8</f>
        <v>#VALUE!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 t="e">
        <f>Y57*Y40/2</f>
        <v>#VALUE!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 t="e">
        <f>M5*Q3</f>
        <v>#N/A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 t="e">
        <f>MIN(Y59*12/(Y60*Q3),1)</f>
        <v>#VALUE!</v>
      </c>
      <c r="Z65" s="207"/>
      <c r="AA65" s="207"/>
      <c r="AB65" s="186" t="s">
        <v>174</v>
      </c>
      <c r="AC65" s="362" t="e">
        <f ca="1">0.6*0.6*S149*M5*(Q7-3/8)</f>
        <v>#N/A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 t="e">
        <f>(4-1.75*Y65)*Y64*SQRT(M10)</f>
        <v>#VALUE!</v>
      </c>
      <c r="Z66" s="396" t="s">
        <v>148</v>
      </c>
      <c r="AA66" s="207"/>
      <c r="AB66" s="207" t="s">
        <v>256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257</v>
      </c>
      <c r="M67" s="320" t="e">
        <f>N14</f>
        <v>#N/A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259</v>
      </c>
      <c r="M68" s="320" t="e">
        <f>M55/M56</f>
        <v>#N/A</v>
      </c>
      <c r="N68" s="185"/>
      <c r="O68" s="185"/>
      <c r="P68" s="207"/>
      <c r="Q68" s="175"/>
      <c r="R68" s="186" t="s">
        <v>188</v>
      </c>
      <c r="S68" s="397" t="e">
        <f ca="1">5*R28*(M4*12)^2/(48*57000*SQRT(M10)*M57)</f>
        <v>#N/A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261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262</v>
      </c>
      <c r="S69" s="397" t="e">
        <f>(1/2*M5)+0.5</f>
        <v>#N/A</v>
      </c>
      <c r="T69" s="207" t="s">
        <v>82</v>
      </c>
      <c r="U69" s="207"/>
      <c r="V69" s="207"/>
      <c r="W69" s="231"/>
      <c r="X69" s="211" t="s">
        <v>263</v>
      </c>
      <c r="Y69" s="186" t="e">
        <f>0.0007*M5*Q3</f>
        <v>#N/A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264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265</v>
      </c>
      <c r="S70" s="313" t="e">
        <f ca="1">((M55*S69)+(M55*S68))/12</f>
        <v>#N/A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0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265</v>
      </c>
      <c r="S71" s="402" t="e">
        <f>IF(M67&gt;30,S70,0)</f>
        <v>#N/A</v>
      </c>
      <c r="T71" s="403" t="s">
        <v>194</v>
      </c>
      <c r="U71" s="185"/>
      <c r="V71" s="185"/>
      <c r="W71" s="188"/>
      <c r="X71" s="211" t="s">
        <v>267</v>
      </c>
      <c r="Y71" s="175" t="e">
        <f>IF(0.8*Y66&gt;Y60,0,Y60/0.8-Y66)</f>
        <v>#VALUE!</v>
      </c>
      <c r="Z71" s="175" t="s">
        <v>148</v>
      </c>
      <c r="AA71" s="175" t="s">
        <v>256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274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275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276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277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278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 t="e">
        <f>0.8*(Y71+Y66)</f>
        <v>#VALUE!</v>
      </c>
      <c r="Z79" s="396" t="s">
        <v>148</v>
      </c>
      <c r="AA79" s="185" t="s">
        <v>256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279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280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0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 t="e">
        <f>(VLOOKUP(Q5,X26:Y32,2,FALSE))*Q4</f>
        <v>#N/A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 t="e">
        <f>Y83*Y84/(0.8*M10*Q3)</f>
        <v>#N/A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181</v>
      </c>
      <c r="M86" s="265" t="e">
        <f ca="1">R28+S71</f>
        <v>#N/A</v>
      </c>
      <c r="N86" s="186" t="s">
        <v>143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143</v>
      </c>
      <c r="Y86" s="417" t="e">
        <f>0.9*(Y83*Y84*(Y82-Y85/2))/12</f>
        <v>#N/A</v>
      </c>
      <c r="Z86" s="396" t="s">
        <v>235</v>
      </c>
      <c r="AA86" s="185" t="s">
        <v>256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183</v>
      </c>
      <c r="M87" s="265" t="e">
        <f ca="1">IF(R29=0,0.01,ABS(R29))</f>
        <v>#N/A</v>
      </c>
      <c r="N87" s="186" t="s">
        <v>143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150</v>
      </c>
      <c r="M88" s="265" t="e">
        <f ca="1">R30</f>
        <v>#N/A</v>
      </c>
      <c r="N88" s="186" t="s">
        <v>151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191</v>
      </c>
      <c r="M89" s="185" t="e">
        <f>M55</f>
        <v>#N/A</v>
      </c>
      <c r="N89" s="186" t="s">
        <v>192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 t="e">
        <f>M5*(Q3^2)/6</f>
        <v>#N/A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 t="e">
        <f>Y89*Y90/12</f>
        <v>#N/A</v>
      </c>
      <c r="Z91" s="185" t="s">
        <v>235</v>
      </c>
      <c r="AA91" s="185" t="s">
        <v>256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85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295</v>
      </c>
      <c r="M94" s="426" t="e">
        <f ca="1">S21+S22</f>
        <v>#N/A</v>
      </c>
      <c r="N94" s="427"/>
      <c r="O94" s="428" t="s">
        <v>295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167</v>
      </c>
      <c r="Y94" s="431" t="e">
        <f>0.64*M10/(U10*1000)*(0.0025/(1.5*U10/29000+0.0025))*M5*Q3</f>
        <v>#N/A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296</v>
      </c>
      <c r="M95" s="432">
        <f>M8</f>
        <v>-9.9999999999999995E-8</v>
      </c>
      <c r="N95" s="427"/>
      <c r="O95" s="428" t="s">
        <v>297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256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199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300</v>
      </c>
      <c r="M98" s="433" t="e">
        <f ca="1">M94*($M$95+$M$96)^2/(2*$M$95)</f>
        <v>#N/A</v>
      </c>
      <c r="N98" s="427"/>
      <c r="O98" s="428" t="s">
        <v>300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302</v>
      </c>
      <c r="M99" s="433" t="e">
        <f ca="1">M94*($M$95^2-$M$96^2)/(2*$M$95)</f>
        <v>#N/A</v>
      </c>
      <c r="N99" s="427"/>
      <c r="O99" s="428" t="s">
        <v>302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303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304</v>
      </c>
      <c r="M100" s="433" t="e">
        <f ca="1">M94*(M95+M96)</f>
        <v>#N/A</v>
      </c>
      <c r="N100" s="427"/>
      <c r="O100" s="428" t="s">
        <v>304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305</v>
      </c>
      <c r="Y101" s="265" t="e">
        <f>M5*(Q3^3)/12</f>
        <v>#N/A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308</v>
      </c>
      <c r="Y102" s="265" t="e">
        <f>M5*(Y99^3)/3+Y98*Y83*(Y82-Y99)^2</f>
        <v>#N/A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309</v>
      </c>
      <c r="Y103" s="362" t="e">
        <f>(Y91/AB51)^3*Y101+(1-(Y91/AB51)^3)*Y102</f>
        <v>#N/A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163</v>
      </c>
      <c r="Y105" s="175">
        <f>M7*12/600</f>
        <v>0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162</v>
      </c>
      <c r="Y106" s="320" t="e">
        <f>(5*AB49/12*(M7*12)^4)/(384*900*M10*Y103)</f>
        <v>#VALUE!</v>
      </c>
      <c r="Z106" s="185" t="s">
        <v>82</v>
      </c>
      <c r="AA106" s="185" t="s">
        <v>256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310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312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313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315</v>
      </c>
      <c r="M115" s="430" t="e">
        <f t="shared" ref="M115:M116" ca="1" si="19">S21</f>
        <v>#N/A</v>
      </c>
      <c r="N115" s="427"/>
      <c r="O115" s="428" t="s">
        <v>315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316</v>
      </c>
      <c r="M116" s="430" t="e">
        <f t="shared" ca="1" si="19"/>
        <v>#N/A</v>
      </c>
      <c r="N116" s="427"/>
      <c r="O116" s="428" t="s">
        <v>316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296</v>
      </c>
      <c r="M117" s="432">
        <f>M8</f>
        <v>-9.9999999999999995E-8</v>
      </c>
      <c r="N117" s="427"/>
      <c r="O117" s="428" t="s">
        <v>317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199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202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208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300</v>
      </c>
      <c r="M122" s="433" t="e">
        <f ca="1">(M115*($M$117+$M$118)^2/2+M116*$M$120*($M$117-$M$119+$M$120/2))/$M$117</f>
        <v>#N/A</v>
      </c>
      <c r="N122" s="427"/>
      <c r="O122" s="428" t="s">
        <v>300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302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302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304</v>
      </c>
      <c r="M124" s="433" t="e">
        <f ca="1">M115*(M117+M118)+M116*M120</f>
        <v>#N/A</v>
      </c>
      <c r="N124" s="427"/>
      <c r="O124" s="428" t="s">
        <v>304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318</v>
      </c>
      <c r="M136" s="438" t="e">
        <f ca="1">M123/M115</f>
        <v>#N/A</v>
      </c>
      <c r="N136" s="437" t="e">
        <f ca="1">N127*M136/2</f>
        <v>#N/A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319</v>
      </c>
      <c r="M137" s="438" t="e">
        <f>P123/P115</f>
        <v>#N/A</v>
      </c>
      <c r="N137" s="437" t="s">
        <v>144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328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329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330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331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332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26" priority="9">
      <formula>LEN(TRIM(B28))&gt;0</formula>
    </cfRule>
  </conditionalFormatting>
  <conditionalFormatting sqref="D23:D24 D31:D34">
    <cfRule type="cellIs" dxfId="25" priority="8" operator="lessThan">
      <formula>B23</formula>
    </cfRule>
  </conditionalFormatting>
  <conditionalFormatting sqref="F6:F9 I6:I11 C6:C12 F11:F14">
    <cfRule type="expression" dxfId="24" priority="10">
      <formula>_xludf.isformula(C6)=FALSE</formula>
    </cfRule>
  </conditionalFormatting>
  <conditionalFormatting sqref="G6:G8">
    <cfRule type="notContainsBlanks" dxfId="23" priority="7">
      <formula>LEN(TRIM(G6))&gt;0</formula>
    </cfRule>
  </conditionalFormatting>
  <conditionalFormatting sqref="I44">
    <cfRule type="cellIs" dxfId="22" priority="6" operator="notEqual">
      <formula>"OK"</formula>
    </cfRule>
  </conditionalFormatting>
  <conditionalFormatting sqref="AJ15:AJ20 AJ24:AJ27">
    <cfRule type="cellIs" dxfId="21" priority="1" operator="equal">
      <formula>"PASS"</formula>
    </cfRule>
  </conditionalFormatting>
  <conditionalFormatting sqref="AM11">
    <cfRule type="cellIs" dxfId="20" priority="2" operator="equal">
      <formula>"OK"</formula>
    </cfRule>
    <cfRule type="cellIs" dxfId="19" priority="3" operator="equal">
      <formula>"TRUE"</formula>
    </cfRule>
    <cfRule type="cellIs" dxfId="18" priority="4" operator="equal">
      <formula>"PASS"</formula>
    </cfRule>
  </conditionalFormatting>
  <dataValidations count="2">
    <dataValidation type="list" allowBlank="1" sqref="C11" xr:uid="{00000000-0002-0000-0900-000000000000}">
      <formula1>$X$13:$X$19</formula1>
    </dataValidation>
    <dataValidation type="list" allowBlank="1" sqref="C7" xr:uid="{00000000-0002-0000-09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</row>
    <row r="2" spans="1:48" ht="15.75" customHeight="1">
      <c r="A2" s="572" t="str">
        <f>MODULEINPUT!$A$3&amp; ": LINTEL DESIGN FOR "&amp;MODULEINPUT!A29</f>
        <v xml:space="preserve">CREECH DRP PH2 - LEVEL 2 OPENING: LINTEL DESIGN FOR 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LINTEL9!$F6</f>
        <v>0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</row>
    <row r="4" spans="1:48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LINTEL9!$C6</f>
        <v>0</v>
      </c>
      <c r="N4" s="185" t="s">
        <v>87</v>
      </c>
      <c r="O4" s="185"/>
      <c r="P4" s="186" t="s">
        <v>88</v>
      </c>
      <c r="Q4" s="194">
        <f>LINTEL9!$F7</f>
        <v>0</v>
      </c>
      <c r="R4" s="185"/>
      <c r="S4" s="185"/>
      <c r="T4" s="186" t="s">
        <v>89</v>
      </c>
      <c r="U4" s="195" t="str">
        <f>LINTEL9!$I6</f>
        <v/>
      </c>
      <c r="V4" s="185" t="s">
        <v>90</v>
      </c>
      <c r="W4" s="188"/>
      <c r="X4" s="196">
        <f>LINTEL9!$C7</f>
        <v>0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 t="e">
        <f>Z9</f>
        <v>#N/A</v>
      </c>
      <c r="N5" s="185" t="s">
        <v>82</v>
      </c>
      <c r="O5" s="185"/>
      <c r="P5" s="186" t="s">
        <v>96</v>
      </c>
      <c r="Q5" s="202">
        <f>LINTEL9!$F8</f>
        <v>0</v>
      </c>
      <c r="R5" s="185"/>
      <c r="S5" s="185"/>
      <c r="T5" s="203" t="s">
        <v>97</v>
      </c>
      <c r="U5" s="195" t="str">
        <f>LINTEL9!$I7</f>
        <v/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86</v>
      </c>
      <c r="C6" s="208">
        <f>MODULEINPUT!C29</f>
        <v>0</v>
      </c>
      <c r="D6" s="19"/>
      <c r="E6" s="17" t="s">
        <v>81</v>
      </c>
      <c r="F6" s="209">
        <f>MODULEINPUT!F43</f>
        <v>0</v>
      </c>
      <c r="G6" s="573" t="e">
        <f>IF(AJ19="FAIL","As &gt; As,max " &amp; AK19,"")</f>
        <v>#N/A</v>
      </c>
      <c r="H6" s="17" t="s">
        <v>89</v>
      </c>
      <c r="I6" s="210" t="str">
        <f>MODULEINPUT!H29</f>
        <v/>
      </c>
      <c r="J6" s="18"/>
      <c r="K6" s="185"/>
      <c r="L6" s="186" t="s">
        <v>102</v>
      </c>
      <c r="M6" s="193">
        <f>LINTEL9!$C8</f>
        <v>0</v>
      </c>
      <c r="N6" s="185" t="s">
        <v>87</v>
      </c>
      <c r="O6" s="185"/>
      <c r="P6" s="211" t="s">
        <v>103</v>
      </c>
      <c r="Q6" s="212">
        <f>F9</f>
        <v>0</v>
      </c>
      <c r="R6" s="175"/>
      <c r="S6" s="185"/>
      <c r="T6" s="203" t="s">
        <v>104</v>
      </c>
      <c r="U6" s="195" t="str">
        <f>LINTEL9!$I8</f>
        <v/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105</v>
      </c>
      <c r="C7" s="214">
        <f>MODULEINPUT!D29</f>
        <v>0</v>
      </c>
      <c r="D7" s="19"/>
      <c r="E7" s="17" t="s">
        <v>88</v>
      </c>
      <c r="F7" s="215">
        <f>MODULEINPUT!G43*F9</f>
        <v>0</v>
      </c>
      <c r="G7" s="574"/>
      <c r="H7" s="17" t="s">
        <v>97</v>
      </c>
      <c r="I7" s="216" t="str">
        <f>MODULEINPUT!I29</f>
        <v/>
      </c>
      <c r="J7" s="18"/>
      <c r="K7" s="185"/>
      <c r="L7" s="186" t="s">
        <v>106</v>
      </c>
      <c r="M7" s="193">
        <f>LINTEL9!$C9</f>
        <v>0</v>
      </c>
      <c r="N7" s="185" t="s">
        <v>87</v>
      </c>
      <c r="O7" s="185"/>
      <c r="P7" s="186" t="s">
        <v>107</v>
      </c>
      <c r="Q7" s="217">
        <f>LINTEL9!$F11</f>
        <v>0</v>
      </c>
      <c r="R7" s="185" t="s">
        <v>82</v>
      </c>
      <c r="S7" s="185"/>
      <c r="T7" s="203" t="s">
        <v>108</v>
      </c>
      <c r="U7" s="218">
        <f>LINTEL9!$I9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102</v>
      </c>
      <c r="C8" s="219">
        <f>MODULEINPUT!C43</f>
        <v>0</v>
      </c>
      <c r="D8" s="19"/>
      <c r="E8" s="17" t="s">
        <v>96</v>
      </c>
      <c r="F8" s="220">
        <f>MODULEINPUT!E43</f>
        <v>0</v>
      </c>
      <c r="G8" s="575"/>
      <c r="H8" s="17" t="s">
        <v>104</v>
      </c>
      <c r="I8" s="216" t="str">
        <f>MODULEINPUT!J29</f>
        <v/>
      </c>
      <c r="J8" s="18"/>
      <c r="K8" s="185"/>
      <c r="L8" s="186" t="s">
        <v>110</v>
      </c>
      <c r="M8" s="193">
        <f>LINTEL9!$C10-0.0000001</f>
        <v>-9.9999999999999995E-8</v>
      </c>
      <c r="N8" s="185" t="s">
        <v>87</v>
      </c>
      <c r="O8" s="185"/>
      <c r="P8" s="186" t="s">
        <v>111</v>
      </c>
      <c r="Q8" s="217" t="e">
        <f>LINTEL9!$F12</f>
        <v>#N/A</v>
      </c>
      <c r="R8" s="185" t="s">
        <v>82</v>
      </c>
      <c r="S8" s="185"/>
      <c r="T8" s="203" t="s">
        <v>112</v>
      </c>
      <c r="U8" s="218" t="e">
        <f ca="1">LINTEL9!$I10</f>
        <v>#N/A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106</v>
      </c>
      <c r="C9" s="219">
        <f>MODULEINPUT!D43</f>
        <v>0</v>
      </c>
      <c r="D9" s="19"/>
      <c r="E9" s="17" t="s">
        <v>103</v>
      </c>
      <c r="F9" s="221">
        <f>MODULEINPUT!H43</f>
        <v>0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 t="e">
        <f>Z20</f>
        <v>#N/A</v>
      </c>
      <c r="N9" s="185" t="s">
        <v>115</v>
      </c>
      <c r="O9" s="185"/>
      <c r="P9" s="186" t="s">
        <v>116</v>
      </c>
      <c r="Q9" s="194">
        <f>LINTEL9!$F13</f>
        <v>0</v>
      </c>
      <c r="R9" s="185"/>
      <c r="S9" s="185"/>
      <c r="T9" s="203" t="s">
        <v>13</v>
      </c>
      <c r="U9" s="185" t="b">
        <f>IF(LINTEL9!$I11="y",TRUE,FALSE)</f>
        <v>1</v>
      </c>
      <c r="V9" s="185"/>
      <c r="W9" s="188"/>
      <c r="X9" s="224" t="s">
        <v>117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110</v>
      </c>
      <c r="C10" s="219">
        <f>MODULEINPUT!E29</f>
        <v>0</v>
      </c>
      <c r="D10" s="19"/>
      <c r="E10" s="19"/>
      <c r="F10" s="40"/>
      <c r="G10" s="19"/>
      <c r="H10" s="17" t="s">
        <v>112</v>
      </c>
      <c r="I10" s="222" t="e">
        <f ca="1">M22</f>
        <v>#N/A</v>
      </c>
      <c r="J10" s="18"/>
      <c r="K10" s="185"/>
      <c r="L10" s="186" t="s">
        <v>118</v>
      </c>
      <c r="M10" s="226">
        <f>LINTEL9!$C12</f>
        <v>2000</v>
      </c>
      <c r="N10" s="185" t="s">
        <v>119</v>
      </c>
      <c r="O10" s="185"/>
      <c r="P10" s="186" t="s">
        <v>96</v>
      </c>
      <c r="Q10" s="202">
        <f>LINTEL9!$F14</f>
        <v>0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122</v>
      </c>
      <c r="C11" s="228">
        <f>MODULEINPUT!B43</f>
        <v>0</v>
      </c>
      <c r="D11" s="19"/>
      <c r="E11" s="17" t="s">
        <v>107</v>
      </c>
      <c r="F11" s="209">
        <f>MODULEINPUT!J43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MODULEINPUT!K43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 t="e">
        <f>IF(MODULEINPUT!K43=1,M5/2,M5-2-F14/16)</f>
        <v>#N/A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>
        <f>LINTEL9!$C11</f>
        <v>0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116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96</v>
      </c>
      <c r="F14" s="220">
        <f>MODULEINPUT!I43</f>
        <v>0</v>
      </c>
      <c r="G14" s="19"/>
      <c r="H14" s="19"/>
      <c r="I14" s="19"/>
      <c r="J14" s="18"/>
      <c r="K14" s="185"/>
      <c r="L14" s="175"/>
      <c r="M14" s="186" t="s">
        <v>131</v>
      </c>
      <c r="N14" s="246" t="e">
        <f>M4*12/M5</f>
        <v>#N/A</v>
      </c>
      <c r="O14" s="185" t="s">
        <v>132</v>
      </c>
      <c r="P14" s="185"/>
      <c r="Q14" s="185"/>
      <c r="R14" s="211" t="s">
        <v>133</v>
      </c>
      <c r="S14" s="247" t="e">
        <f>(M9/2-4+Q7)/12</f>
        <v>#N/A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 t="e">
        <f>AC21</f>
        <v>#N/A</v>
      </c>
      <c r="O15" s="185" t="s">
        <v>109</v>
      </c>
      <c r="P15" s="185"/>
      <c r="Q15" s="185"/>
      <c r="R15" s="211" t="s">
        <v>141</v>
      </c>
      <c r="S15" s="247">
        <f>M7/2</f>
        <v>0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 t="e">
        <f>LINTEL9!$B23</f>
        <v>#VALUE!</v>
      </c>
      <c r="AH15" s="254" t="s">
        <v>143</v>
      </c>
      <c r="AI15" s="253" t="e">
        <f>LINTEL9!$D23</f>
        <v>#N/A</v>
      </c>
      <c r="AJ15" s="255" t="e">
        <f>AB86</f>
        <v>#N/A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 t="e">
        <f>AA9</f>
        <v>#N/A</v>
      </c>
      <c r="O16" s="185" t="s">
        <v>109</v>
      </c>
      <c r="P16" s="185"/>
      <c r="Q16" s="185"/>
      <c r="R16" s="186" t="s">
        <v>147</v>
      </c>
      <c r="S16" s="246" t="e">
        <f>N18+N17*S15+U4*S15</f>
        <v>#N/A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 t="e">
        <f>LINTEL9!$B24</f>
        <v>#VALUE!</v>
      </c>
      <c r="AH16" s="254" t="s">
        <v>151</v>
      </c>
      <c r="AI16" s="260" t="e">
        <f>LINTEL9!$D24</f>
        <v>#VALUE!</v>
      </c>
      <c r="AJ16" s="255" t="e">
        <f>AB79</f>
        <v>#VALUE!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</row>
    <row r="17" spans="1:48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 t="e">
        <f>(M4-M6-Q3/12)*N15+Q3/12*N16</f>
        <v>#N/A</v>
      </c>
      <c r="O17" s="185" t="s">
        <v>90</v>
      </c>
      <c r="P17" s="185"/>
      <c r="Q17" s="185"/>
      <c r="R17" s="186" t="s">
        <v>154</v>
      </c>
      <c r="S17" s="185" t="e">
        <f>U5*S15</f>
        <v>#VALUE!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 t="e">
        <f>1.3*Y91/1000</f>
        <v>#N/A</v>
      </c>
      <c r="AH17" s="254" t="s">
        <v>157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158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 t="e">
        <f>AA9*Q7/12*M4</f>
        <v>#N/A</v>
      </c>
      <c r="O18" s="185" t="s">
        <v>148</v>
      </c>
      <c r="P18" s="185"/>
      <c r="Q18" s="185"/>
      <c r="R18" s="186" t="s">
        <v>160</v>
      </c>
      <c r="S18" s="185" t="e">
        <f>U6*(S15+Q7/12)</f>
        <v>#VALUE!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 t="e">
        <f>Y106</f>
        <v>#VALUE!</v>
      </c>
      <c r="AH18" s="269" t="s">
        <v>163</v>
      </c>
      <c r="AI18" s="268">
        <f>Y105</f>
        <v>0</v>
      </c>
      <c r="AJ18" s="255" t="e">
        <f>AB106</f>
        <v>#VALUE!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164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 t="e">
        <f>S14*U7</f>
        <v>#N/A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 t="e">
        <f>Y94</f>
        <v>#N/A</v>
      </c>
      <c r="AH19" s="269" t="s">
        <v>168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169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MODULEINPUT!B29</f>
        <v>0</v>
      </c>
      <c r="N20" s="175"/>
      <c r="O20" s="175"/>
      <c r="P20" s="185"/>
      <c r="Q20" s="185"/>
      <c r="R20" s="186" t="s">
        <v>171</v>
      </c>
      <c r="S20" s="175">
        <f>U7*S15</f>
        <v>0</v>
      </c>
      <c r="T20" s="266" t="s">
        <v>172</v>
      </c>
      <c r="U20" s="185"/>
      <c r="V20" s="185"/>
      <c r="W20" s="188"/>
      <c r="X20" s="225" t="s">
        <v>117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173</v>
      </c>
      <c r="AG20" s="260" t="e">
        <f>AG16</f>
        <v>#VALUE!</v>
      </c>
      <c r="AH20" s="269" t="s">
        <v>174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175</v>
      </c>
      <c r="S21" s="247" t="e">
        <f ca="1">S14*U8</f>
        <v>#N/A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48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 t="e">
        <f ca="1">MODULEINPUT!P5*M21</f>
        <v>#N/A</v>
      </c>
      <c r="N22" s="185"/>
      <c r="O22" s="185"/>
      <c r="P22" s="185"/>
      <c r="Q22" s="185"/>
      <c r="R22" s="186" t="s">
        <v>178</v>
      </c>
      <c r="S22" s="175" t="e">
        <f ca="1">U8*S15</f>
        <v>#N/A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48" ht="15.75" customHeight="1">
      <c r="A23" s="17" t="s">
        <v>142</v>
      </c>
      <c r="B23" s="281" t="e">
        <f t="shared" ref="B23:B24" si="3">Y59/1000</f>
        <v>#VALUE!</v>
      </c>
      <c r="C23" s="17" t="s">
        <v>143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150</v>
      </c>
      <c r="B24" s="287" t="e">
        <f t="shared" si="3"/>
        <v>#VALUE!</v>
      </c>
      <c r="C24" s="17" t="s">
        <v>151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 t="e">
        <f ca="1">LINTEL9!$B31</f>
        <v>#N/A</v>
      </c>
      <c r="AH24" s="254" t="s">
        <v>143</v>
      </c>
      <c r="AI24" s="253" t="e">
        <f>LINTEL9!$D31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 t="e">
        <f ca="1">LINTEL9!$B32</f>
        <v>#N/A</v>
      </c>
      <c r="AH25" s="254" t="s">
        <v>143</v>
      </c>
      <c r="AI25" s="253" t="e">
        <f>LINTEL9!$D32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184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 t="e">
        <f ca="1">LINTEL9!$B33</f>
        <v>#N/A</v>
      </c>
      <c r="AH26" s="254" t="s">
        <v>151</v>
      </c>
      <c r="AI26" s="260" t="e">
        <f ca="1">LINTEL9!$D33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188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 t="e">
        <f>LINTEL9!$B34</f>
        <v>#N/A</v>
      </c>
      <c r="AH27" s="299" t="s">
        <v>192</v>
      </c>
      <c r="AI27" s="298" t="e">
        <f>LINTEL9!$D34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72" t="e">
        <f>IF(AJ17="FAIL",AK17,IF(AJ18="FAIL","Deflection Fails",IF(AJ20="FAIL",AK20,"")))</f>
        <v>#N/A</v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 t="e">
        <f>1*S19</f>
        <v>#N/A</v>
      </c>
      <c r="N28" s="207">
        <f>1*S20</f>
        <v>0</v>
      </c>
      <c r="O28" s="185"/>
      <c r="P28" s="207"/>
      <c r="Q28" s="305" t="s">
        <v>181</v>
      </c>
      <c r="R28" s="306" t="e">
        <f ca="1">S145</f>
        <v>#N/A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90</v>
      </c>
      <c r="P29" s="207"/>
      <c r="Q29" s="312" t="s">
        <v>183</v>
      </c>
      <c r="R29" s="313" t="e">
        <f t="shared" ref="R29:R30" ca="1" si="11">S147</f>
        <v>#N/A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 t="e">
        <f t="shared" ca="1" si="11"/>
        <v>#N/A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181</v>
      </c>
      <c r="B31" s="319" t="e">
        <f t="shared" ref="B31:B34" ca="1" si="12">M86/1000</f>
        <v>#N/A</v>
      </c>
      <c r="C31" s="318" t="s">
        <v>143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183</v>
      </c>
      <c r="B32" s="319" t="e">
        <f t="shared" ca="1" si="12"/>
        <v>#N/A</v>
      </c>
      <c r="C32" s="318" t="s">
        <v>143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 t="e">
        <f>(VLOOKUP(Q10,X26:Y32,2,FALSE))*Q9</f>
        <v>#N/A</v>
      </c>
      <c r="N32" s="266" t="s">
        <v>198</v>
      </c>
      <c r="O32" s="320" t="s">
        <v>199</v>
      </c>
      <c r="P32" s="321" t="e">
        <f>0.8*M35</f>
        <v>#N/A</v>
      </c>
      <c r="Q32" s="186"/>
      <c r="R32" s="313"/>
      <c r="S32" s="207"/>
      <c r="T32" s="186" t="s">
        <v>200</v>
      </c>
      <c r="U32" s="313" t="e">
        <f>(0.8*M10*P32*P33*(M34-P32/2))/12</f>
        <v>#N/A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150</v>
      </c>
      <c r="B33" s="324" t="e">
        <f t="shared" ca="1" si="12"/>
        <v>#N/A</v>
      </c>
      <c r="C33" s="318" t="s">
        <v>151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0</v>
      </c>
      <c r="Q33" s="186"/>
      <c r="R33" s="313"/>
      <c r="S33" s="207"/>
      <c r="T33" s="186" t="s">
        <v>203</v>
      </c>
      <c r="U33" s="313" t="e">
        <f>(M32*M33*(M34-P32/2))/12</f>
        <v>#N/A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 t="e">
        <f t="shared" si="12"/>
        <v>#N/A</v>
      </c>
      <c r="C34" s="318" t="s">
        <v>192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 t="e">
        <f>Q8</f>
        <v>#N/A</v>
      </c>
      <c r="N34" s="266" t="s">
        <v>205</v>
      </c>
      <c r="O34" s="320" t="s">
        <v>206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 t="e">
        <f>(0.0025/(0.0025+0.002069))*M34</f>
        <v>#N/A</v>
      </c>
      <c r="N35" s="266" t="s">
        <v>82</v>
      </c>
      <c r="O35" s="326" t="s">
        <v>157</v>
      </c>
      <c r="P35" s="327" t="e">
        <f>MIN(U32:U33)</f>
        <v>#N/A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ROUND(LINTEL9!F6/8,0)</f>
        <v>0</v>
      </c>
      <c r="D39" s="40" t="str">
        <f>""</f>
        <v/>
      </c>
      <c r="E39" s="40"/>
      <c r="F39" s="40"/>
      <c r="G39" s="93" t="s">
        <v>214</v>
      </c>
      <c r="H39" s="44">
        <f>ROUND(LINTEL9!F11/8,0)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CONCATENATE("(",LINTEL9!F7,")"," #",LINTEL9!F8)</f>
        <v>(0) #0</v>
      </c>
      <c r="D40" s="19"/>
      <c r="E40" s="19"/>
      <c r="F40" s="19"/>
      <c r="G40" s="17" t="s">
        <v>217</v>
      </c>
      <c r="H40" s="15" t="str">
        <f>CONCATENATE("(", IF(Q11=2,LINTEL9!F13*2,LINTEL9!F13),")"," #",LINTEL9!F14)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0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219</v>
      </c>
      <c r="D41" s="15" t="s">
        <v>220</v>
      </c>
      <c r="E41" s="19"/>
      <c r="F41" s="19"/>
      <c r="G41" s="17" t="s">
        <v>221</v>
      </c>
      <c r="H41" s="347" t="e">
        <f>LINTEL9!F12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125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0.66666666666666663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 t="e">
        <f>(Y44-Q3/12)*N15+Q3/12*N16</f>
        <v>#N/A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228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229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230</v>
      </c>
      <c r="Y49" s="362" t="e">
        <f>IF(Y43="No",U4+N17,Y45)</f>
        <v>#VALUE!</v>
      </c>
      <c r="Z49" s="266" t="s">
        <v>90</v>
      </c>
      <c r="AA49" s="363" t="s">
        <v>231</v>
      </c>
      <c r="AB49" s="364" t="e">
        <f>SUM(Y49:Y51)</f>
        <v>#VALUE!</v>
      </c>
      <c r="AC49" s="365" t="s">
        <v>90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232</v>
      </c>
      <c r="Y50" s="362" t="str">
        <f>IF(Y43="No",U5,0)</f>
        <v/>
      </c>
      <c r="Z50" s="266" t="s">
        <v>90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78"/>
      <c r="T51" s="579"/>
      <c r="U51" s="579"/>
      <c r="V51" s="580"/>
      <c r="W51" s="231"/>
      <c r="X51" s="207" t="s">
        <v>233</v>
      </c>
      <c r="Y51" s="362" t="str">
        <f>IF(Y43="No",U6,0)</f>
        <v/>
      </c>
      <c r="Z51" s="266" t="s">
        <v>90</v>
      </c>
      <c r="AA51" s="370" t="s">
        <v>234</v>
      </c>
      <c r="AB51" s="371" t="e">
        <f>AB49*(Y40^2)/8</f>
        <v>#VALUE!</v>
      </c>
      <c r="AC51" s="368" t="s">
        <v>235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236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191</v>
      </c>
      <c r="M55" s="379" t="e">
        <f>1.2*S16+1.6*(MAX(S17:S18))+0.8*(MIN(S17:S18))</f>
        <v>#N/A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 t="e">
        <f>1.2*Y49+1.6*Y50+0.5*Y51</f>
        <v>#VALUE!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240</v>
      </c>
      <c r="M56" s="185" t="e">
        <f>Q7*M5</f>
        <v>#N/A</v>
      </c>
      <c r="N56" s="185" t="s">
        <v>198</v>
      </c>
      <c r="O56" s="175"/>
      <c r="P56" s="211" t="s">
        <v>241</v>
      </c>
      <c r="Q56" s="381" t="e">
        <f>0.8*(0.8*M10*(M56-M32)+(M33*M32))*(1-(M59/140)^2)</f>
        <v>#N/A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 t="e">
        <f>1.2*Y49+1.6*Y51+Z54*Y50</f>
        <v>#VALUE!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244</v>
      </c>
      <c r="M57" s="265" t="e">
        <f>Q7*M5^3/12</f>
        <v>#N/A</v>
      </c>
      <c r="N57" s="185" t="s">
        <v>245</v>
      </c>
      <c r="O57" s="175"/>
      <c r="P57" s="211" t="s">
        <v>241</v>
      </c>
      <c r="Q57" s="381" t="e">
        <f>0.8*(0.8*M10*(M56-M32)+(M33*M32))*(70/M59)^2</f>
        <v>#N/A</v>
      </c>
      <c r="R57" s="175" t="s">
        <v>246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247</v>
      </c>
      <c r="M58" s="246" t="e">
        <f>SQRT(M57/M56)</f>
        <v>#N/A</v>
      </c>
      <c r="N58" s="185"/>
      <c r="O58" s="175"/>
      <c r="P58" s="384" t="s">
        <v>241</v>
      </c>
      <c r="Q58" s="385" t="e">
        <f>IF(M59&lt;99,Q56,Q57)</f>
        <v>#N/A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248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 t="e">
        <f>(Y57*Y40^2)/8</f>
        <v>#VALUE!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 t="e">
        <f>Y57*Y40/2</f>
        <v>#VALUE!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 t="e">
        <f>M5*Q3</f>
        <v>#N/A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 t="e">
        <f>MIN(Y59*12/(Y60*Q3),1)</f>
        <v>#VALUE!</v>
      </c>
      <c r="Z65" s="207"/>
      <c r="AA65" s="207"/>
      <c r="AB65" s="186" t="s">
        <v>174</v>
      </c>
      <c r="AC65" s="362" t="e">
        <f ca="1">0.6*0.6*S149*M5*(Q7-3/8)</f>
        <v>#N/A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 t="e">
        <f>(4-1.75*Y65)*Y64*SQRT(M10)</f>
        <v>#VALUE!</v>
      </c>
      <c r="Z66" s="396" t="s">
        <v>148</v>
      </c>
      <c r="AA66" s="207"/>
      <c r="AB66" s="207" t="s">
        <v>256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257</v>
      </c>
      <c r="M67" s="320" t="e">
        <f>N14</f>
        <v>#N/A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259</v>
      </c>
      <c r="M68" s="320" t="e">
        <f>M55/M56</f>
        <v>#N/A</v>
      </c>
      <c r="N68" s="185"/>
      <c r="O68" s="185"/>
      <c r="P68" s="207"/>
      <c r="Q68" s="175"/>
      <c r="R68" s="186" t="s">
        <v>188</v>
      </c>
      <c r="S68" s="397" t="e">
        <f ca="1">5*R28*(M4*12)^2/(48*57000*SQRT(M10)*M57)</f>
        <v>#N/A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261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262</v>
      </c>
      <c r="S69" s="397" t="e">
        <f>(1/2*M5)+0.5</f>
        <v>#N/A</v>
      </c>
      <c r="T69" s="207" t="s">
        <v>82</v>
      </c>
      <c r="U69" s="207"/>
      <c r="V69" s="207"/>
      <c r="W69" s="231"/>
      <c r="X69" s="211" t="s">
        <v>263</v>
      </c>
      <c r="Y69" s="186" t="e">
        <f>0.0007*M5*Q3</f>
        <v>#N/A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264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265</v>
      </c>
      <c r="S70" s="313" t="e">
        <f ca="1">((M55*S69)+(M55*S68))/12</f>
        <v>#N/A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0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265</v>
      </c>
      <c r="S71" s="402" t="e">
        <f>IF(M67&gt;30,S70,0)</f>
        <v>#N/A</v>
      </c>
      <c r="T71" s="403" t="s">
        <v>194</v>
      </c>
      <c r="U71" s="185"/>
      <c r="V71" s="185"/>
      <c r="W71" s="188"/>
      <c r="X71" s="211" t="s">
        <v>267</v>
      </c>
      <c r="Y71" s="175" t="e">
        <f>IF(0.8*Y66&gt;Y60,0,Y60/0.8-Y66)</f>
        <v>#VALUE!</v>
      </c>
      <c r="Z71" s="175" t="s">
        <v>148</v>
      </c>
      <c r="AA71" s="175" t="s">
        <v>256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274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275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276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277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278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 t="e">
        <f>0.8*(Y71+Y66)</f>
        <v>#VALUE!</v>
      </c>
      <c r="Z79" s="396" t="s">
        <v>148</v>
      </c>
      <c r="AA79" s="185" t="s">
        <v>256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279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280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0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 t="e">
        <f>(VLOOKUP(Q5,X26:Y32,2,FALSE))*Q4</f>
        <v>#N/A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 t="e">
        <f>Y83*Y84/(0.8*M10*Q3)</f>
        <v>#N/A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181</v>
      </c>
      <c r="M86" s="265" t="e">
        <f ca="1">R28+S71</f>
        <v>#N/A</v>
      </c>
      <c r="N86" s="186" t="s">
        <v>143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143</v>
      </c>
      <c r="Y86" s="417" t="e">
        <f>0.9*(Y83*Y84*(Y82-Y85/2))/12</f>
        <v>#N/A</v>
      </c>
      <c r="Z86" s="396" t="s">
        <v>235</v>
      </c>
      <c r="AA86" s="185" t="s">
        <v>256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183</v>
      </c>
      <c r="M87" s="265" t="e">
        <f ca="1">IF(R29=0,0.01,ABS(R29))</f>
        <v>#N/A</v>
      </c>
      <c r="N87" s="186" t="s">
        <v>143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150</v>
      </c>
      <c r="M88" s="265" t="e">
        <f ca="1">R30</f>
        <v>#N/A</v>
      </c>
      <c r="N88" s="186" t="s">
        <v>151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191</v>
      </c>
      <c r="M89" s="185" t="e">
        <f>M55</f>
        <v>#N/A</v>
      </c>
      <c r="N89" s="186" t="s">
        <v>192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 t="e">
        <f>M5*(Q3^2)/6</f>
        <v>#N/A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 t="e">
        <f>Y89*Y90/12</f>
        <v>#N/A</v>
      </c>
      <c r="Z91" s="185" t="s">
        <v>235</v>
      </c>
      <c r="AA91" s="185" t="s">
        <v>256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85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295</v>
      </c>
      <c r="M94" s="426" t="e">
        <f ca="1">S21+S22</f>
        <v>#N/A</v>
      </c>
      <c r="N94" s="427"/>
      <c r="O94" s="428" t="s">
        <v>295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167</v>
      </c>
      <c r="Y94" s="431" t="e">
        <f>0.64*M10/(U10*1000)*(0.0025/(1.5*U10/29000+0.0025))*M5*Q3</f>
        <v>#N/A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296</v>
      </c>
      <c r="M95" s="432">
        <f>M8</f>
        <v>-9.9999999999999995E-8</v>
      </c>
      <c r="N95" s="427"/>
      <c r="O95" s="428" t="s">
        <v>297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256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199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300</v>
      </c>
      <c r="M98" s="433" t="e">
        <f ca="1">M94*($M$95+$M$96)^2/(2*$M$95)</f>
        <v>#N/A</v>
      </c>
      <c r="N98" s="427"/>
      <c r="O98" s="428" t="s">
        <v>300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302</v>
      </c>
      <c r="M99" s="433" t="e">
        <f ca="1">M94*($M$95^2-$M$96^2)/(2*$M$95)</f>
        <v>#N/A</v>
      </c>
      <c r="N99" s="427"/>
      <c r="O99" s="428" t="s">
        <v>302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303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304</v>
      </c>
      <c r="M100" s="433" t="e">
        <f ca="1">M94*(M95+M96)</f>
        <v>#N/A</v>
      </c>
      <c r="N100" s="427"/>
      <c r="O100" s="428" t="s">
        <v>304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305</v>
      </c>
      <c r="Y101" s="265" t="e">
        <f>M5*(Q3^3)/12</f>
        <v>#N/A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308</v>
      </c>
      <c r="Y102" s="265" t="e">
        <f>M5*(Y99^3)/3+Y98*Y83*(Y82-Y99)^2</f>
        <v>#N/A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309</v>
      </c>
      <c r="Y103" s="362" t="e">
        <f>(Y91/AB51)^3*Y101+(1-(Y91/AB51)^3)*Y102</f>
        <v>#N/A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163</v>
      </c>
      <c r="Y105" s="175">
        <f>M7*12/600</f>
        <v>0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162</v>
      </c>
      <c r="Y106" s="320" t="e">
        <f>(5*AB49/12*(M7*12)^4)/(384*900*M10*Y103)</f>
        <v>#VALUE!</v>
      </c>
      <c r="Z106" s="185" t="s">
        <v>82</v>
      </c>
      <c r="AA106" s="185" t="s">
        <v>256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310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312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313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315</v>
      </c>
      <c r="M115" s="430" t="e">
        <f t="shared" ref="M115:M116" ca="1" si="19">S21</f>
        <v>#N/A</v>
      </c>
      <c r="N115" s="427"/>
      <c r="O115" s="428" t="s">
        <v>315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316</v>
      </c>
      <c r="M116" s="430" t="e">
        <f t="shared" ca="1" si="19"/>
        <v>#N/A</v>
      </c>
      <c r="N116" s="427"/>
      <c r="O116" s="428" t="s">
        <v>316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296</v>
      </c>
      <c r="M117" s="432">
        <f>M8</f>
        <v>-9.9999999999999995E-8</v>
      </c>
      <c r="N117" s="427"/>
      <c r="O117" s="428" t="s">
        <v>317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199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202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208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300</v>
      </c>
      <c r="M122" s="433" t="e">
        <f ca="1">(M115*($M$117+$M$118)^2/2+M116*$M$120*($M$117-$M$119+$M$120/2))/$M$117</f>
        <v>#N/A</v>
      </c>
      <c r="N122" s="427"/>
      <c r="O122" s="428" t="s">
        <v>300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302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302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304</v>
      </c>
      <c r="M124" s="433" t="e">
        <f ca="1">M115*(M117+M118)+M116*M120</f>
        <v>#N/A</v>
      </c>
      <c r="N124" s="427"/>
      <c r="O124" s="428" t="s">
        <v>304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318</v>
      </c>
      <c r="M136" s="438" t="e">
        <f ca="1">M123/M115</f>
        <v>#N/A</v>
      </c>
      <c r="N136" s="437" t="e">
        <f ca="1">N127*M136/2</f>
        <v>#N/A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319</v>
      </c>
      <c r="M137" s="438" t="e">
        <f>P123/P115</f>
        <v>#N/A</v>
      </c>
      <c r="N137" s="437" t="s">
        <v>144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328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329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330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331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332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17" priority="9">
      <formula>LEN(TRIM(B28))&gt;0</formula>
    </cfRule>
  </conditionalFormatting>
  <conditionalFormatting sqref="D23:D24 D31:D34">
    <cfRule type="cellIs" dxfId="16" priority="8" operator="lessThan">
      <formula>B23</formula>
    </cfRule>
  </conditionalFormatting>
  <conditionalFormatting sqref="F6:F9 I6:I11 C6:C12 F11:F14">
    <cfRule type="expression" dxfId="15" priority="10">
      <formula>_xludf.isformula(C6)=FALSE</formula>
    </cfRule>
  </conditionalFormatting>
  <conditionalFormatting sqref="G6:G8">
    <cfRule type="notContainsBlanks" dxfId="14" priority="7">
      <formula>LEN(TRIM(G6))&gt;0</formula>
    </cfRule>
  </conditionalFormatting>
  <conditionalFormatting sqref="I44">
    <cfRule type="cellIs" dxfId="13" priority="6" operator="notEqual">
      <formula>"OK"</formula>
    </cfRule>
  </conditionalFormatting>
  <conditionalFormatting sqref="AJ15:AJ20 AJ24:AJ27">
    <cfRule type="cellIs" dxfId="12" priority="1" operator="equal">
      <formula>"PASS"</formula>
    </cfRule>
  </conditionalFormatting>
  <conditionalFormatting sqref="AM11">
    <cfRule type="cellIs" dxfId="11" priority="2" operator="equal">
      <formula>"OK"</formula>
    </cfRule>
    <cfRule type="cellIs" dxfId="10" priority="3" operator="equal">
      <formula>"TRUE"</formula>
    </cfRule>
    <cfRule type="cellIs" dxfId="9" priority="4" operator="equal">
      <formula>"PASS"</formula>
    </cfRule>
  </conditionalFormatting>
  <dataValidations count="2">
    <dataValidation type="list" allowBlank="1" sqref="C11" xr:uid="{00000000-0002-0000-0A00-000000000000}">
      <formula1>$X$13:$X$19</formula1>
    </dataValidation>
    <dataValidation type="list" allowBlank="1" sqref="C7" xr:uid="{00000000-0002-0000-0A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  <pageSetUpPr fitToPage="1"/>
  </sheetPr>
  <dimension ref="A1:AV149"/>
  <sheetViews>
    <sheetView workbookViewId="0">
      <selection activeCell="F3" sqref="F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</row>
    <row r="2" spans="1:48" ht="15.75" customHeight="1">
      <c r="A2" s="572" t="str">
        <f>MODULEINPUT!$A$3&amp; ": LINTEL DESIGN FOR "&amp;MODULEINPUT!A30</f>
        <v xml:space="preserve">CREECH DRP PH2 - LEVEL 2 OPENING: LINTEL DESIGN FOR 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LINTEL10!$F6</f>
        <v>0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</row>
    <row r="4" spans="1:48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LINTEL10!$C6</f>
        <v>0</v>
      </c>
      <c r="N4" s="185" t="s">
        <v>87</v>
      </c>
      <c r="O4" s="185"/>
      <c r="P4" s="186" t="s">
        <v>88</v>
      </c>
      <c r="Q4" s="194">
        <f>LINTEL10!$F7</f>
        <v>0</v>
      </c>
      <c r="R4" s="185"/>
      <c r="S4" s="185"/>
      <c r="T4" s="186" t="s">
        <v>89</v>
      </c>
      <c r="U4" s="195" t="str">
        <f>LINTEL10!$I6</f>
        <v/>
      </c>
      <c r="V4" s="185" t="s">
        <v>90</v>
      </c>
      <c r="W4" s="188"/>
      <c r="X4" s="196">
        <f>LINTEL10!$C7</f>
        <v>0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 t="e">
        <f>Z9</f>
        <v>#N/A</v>
      </c>
      <c r="N5" s="185" t="s">
        <v>82</v>
      </c>
      <c r="O5" s="185"/>
      <c r="P5" s="186" t="s">
        <v>96</v>
      </c>
      <c r="Q5" s="202">
        <f>LINTEL10!$F8</f>
        <v>0</v>
      </c>
      <c r="R5" s="185"/>
      <c r="S5" s="185"/>
      <c r="T5" s="203" t="s">
        <v>97</v>
      </c>
      <c r="U5" s="195" t="str">
        <f>LINTEL10!$I7</f>
        <v/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86</v>
      </c>
      <c r="C6" s="208">
        <f>MODULEINPUT!C30</f>
        <v>0</v>
      </c>
      <c r="D6" s="19"/>
      <c r="E6" s="17" t="s">
        <v>81</v>
      </c>
      <c r="F6" s="209">
        <f>MODULEINPUT!F44</f>
        <v>0</v>
      </c>
      <c r="G6" s="573" t="e">
        <f>IF(AJ19="FAIL","As &gt; As,max " &amp; AK19,"")</f>
        <v>#N/A</v>
      </c>
      <c r="H6" s="17" t="s">
        <v>89</v>
      </c>
      <c r="I6" s="210" t="str">
        <f>MODULEINPUT!H30</f>
        <v/>
      </c>
      <c r="J6" s="18"/>
      <c r="K6" s="185"/>
      <c r="L6" s="186" t="s">
        <v>102</v>
      </c>
      <c r="M6" s="193">
        <f>LINTEL10!$C8</f>
        <v>0</v>
      </c>
      <c r="N6" s="185" t="s">
        <v>87</v>
      </c>
      <c r="O6" s="185"/>
      <c r="P6" s="211" t="s">
        <v>103</v>
      </c>
      <c r="Q6" s="212">
        <f>F9</f>
        <v>0</v>
      </c>
      <c r="R6" s="175"/>
      <c r="S6" s="185"/>
      <c r="T6" s="203" t="s">
        <v>104</v>
      </c>
      <c r="U6" s="195" t="str">
        <f>LINTEL10!$I8</f>
        <v/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105</v>
      </c>
      <c r="C7" s="214">
        <f>MODULEINPUT!D30</f>
        <v>0</v>
      </c>
      <c r="D7" s="19"/>
      <c r="E7" s="17" t="s">
        <v>88</v>
      </c>
      <c r="F7" s="215">
        <f>MODULEINPUT!G44*F9</f>
        <v>0</v>
      </c>
      <c r="G7" s="574"/>
      <c r="H7" s="17" t="s">
        <v>97</v>
      </c>
      <c r="I7" s="216" t="str">
        <f>MODULEINPUT!I30</f>
        <v/>
      </c>
      <c r="J7" s="18"/>
      <c r="K7" s="185"/>
      <c r="L7" s="186" t="s">
        <v>106</v>
      </c>
      <c r="M7" s="193">
        <f>LINTEL10!$C9</f>
        <v>0</v>
      </c>
      <c r="N7" s="185" t="s">
        <v>87</v>
      </c>
      <c r="O7" s="185"/>
      <c r="P7" s="186" t="s">
        <v>107</v>
      </c>
      <c r="Q7" s="217">
        <f>LINTEL10!$F11</f>
        <v>0</v>
      </c>
      <c r="R7" s="185" t="s">
        <v>82</v>
      </c>
      <c r="S7" s="185"/>
      <c r="T7" s="203" t="s">
        <v>108</v>
      </c>
      <c r="U7" s="218">
        <f>LINTEL10!$I9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102</v>
      </c>
      <c r="C8" s="219">
        <f>MODULEINPUT!C44</f>
        <v>0</v>
      </c>
      <c r="D8" s="19"/>
      <c r="E8" s="17" t="s">
        <v>96</v>
      </c>
      <c r="F8" s="220">
        <f>MODULEINPUT!E44</f>
        <v>0</v>
      </c>
      <c r="G8" s="575"/>
      <c r="H8" s="17" t="s">
        <v>104</v>
      </c>
      <c r="I8" s="216" t="str">
        <f>MODULEINPUT!J30</f>
        <v/>
      </c>
      <c r="J8" s="18"/>
      <c r="K8" s="185"/>
      <c r="L8" s="186" t="s">
        <v>110</v>
      </c>
      <c r="M8" s="193">
        <f>LINTEL10!$C10-0.0000001</f>
        <v>-9.9999999999999995E-8</v>
      </c>
      <c r="N8" s="185" t="s">
        <v>87</v>
      </c>
      <c r="O8" s="185"/>
      <c r="P8" s="186" t="s">
        <v>111</v>
      </c>
      <c r="Q8" s="217" t="e">
        <f>LINTEL10!$F12</f>
        <v>#N/A</v>
      </c>
      <c r="R8" s="185" t="s">
        <v>82</v>
      </c>
      <c r="S8" s="185"/>
      <c r="T8" s="203" t="s">
        <v>112</v>
      </c>
      <c r="U8" s="218" t="e">
        <f ca="1">LINTEL10!$I10</f>
        <v>#N/A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106</v>
      </c>
      <c r="C9" s="219">
        <f>MODULEINPUT!D44</f>
        <v>0</v>
      </c>
      <c r="D9" s="19"/>
      <c r="E9" s="17" t="s">
        <v>103</v>
      </c>
      <c r="F9" s="221">
        <f>MODULEINPUT!H44</f>
        <v>0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 t="e">
        <f>Z20</f>
        <v>#N/A</v>
      </c>
      <c r="N9" s="185" t="s">
        <v>115</v>
      </c>
      <c r="O9" s="185"/>
      <c r="P9" s="186" t="s">
        <v>116</v>
      </c>
      <c r="Q9" s="194">
        <f>LINTEL10!$F13</f>
        <v>0</v>
      </c>
      <c r="R9" s="185"/>
      <c r="S9" s="185"/>
      <c r="T9" s="203" t="s">
        <v>13</v>
      </c>
      <c r="U9" s="185" t="b">
        <f>IF(LINTEL10!$I11="y",TRUE,FALSE)</f>
        <v>1</v>
      </c>
      <c r="V9" s="185"/>
      <c r="W9" s="188"/>
      <c r="X9" s="224" t="s">
        <v>117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110</v>
      </c>
      <c r="C10" s="219">
        <f>MODULEINPUT!E30</f>
        <v>0</v>
      </c>
      <c r="D10" s="19"/>
      <c r="E10" s="19"/>
      <c r="F10" s="40"/>
      <c r="G10" s="19"/>
      <c r="H10" s="17" t="s">
        <v>112</v>
      </c>
      <c r="I10" s="222" t="e">
        <f ca="1">M22</f>
        <v>#N/A</v>
      </c>
      <c r="J10" s="18"/>
      <c r="K10" s="185"/>
      <c r="L10" s="186" t="s">
        <v>118</v>
      </c>
      <c r="M10" s="226">
        <f>LINTEL10!$C12</f>
        <v>2000</v>
      </c>
      <c r="N10" s="185" t="s">
        <v>119</v>
      </c>
      <c r="O10" s="185"/>
      <c r="P10" s="186" t="s">
        <v>96</v>
      </c>
      <c r="Q10" s="202">
        <f>LINTEL10!$F14</f>
        <v>0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122</v>
      </c>
      <c r="C11" s="228">
        <f>MODULEINPUT!B44</f>
        <v>0</v>
      </c>
      <c r="D11" s="19"/>
      <c r="E11" s="17" t="s">
        <v>107</v>
      </c>
      <c r="F11" s="209">
        <f>MODULEINPUT!J44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MODULEINPUT!K44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 t="e">
        <f>IF(MODULEINPUT!K44=1,M5/2,M5-2-F14/16)</f>
        <v>#N/A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>
        <f>LINTEL10!$C11</f>
        <v>0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116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96</v>
      </c>
      <c r="F14" s="220">
        <f>MODULEINPUT!I44</f>
        <v>0</v>
      </c>
      <c r="G14" s="19"/>
      <c r="H14" s="19"/>
      <c r="I14" s="19"/>
      <c r="J14" s="18"/>
      <c r="K14" s="185"/>
      <c r="L14" s="175"/>
      <c r="M14" s="186" t="s">
        <v>131</v>
      </c>
      <c r="N14" s="246" t="e">
        <f>M4*12/M5</f>
        <v>#N/A</v>
      </c>
      <c r="O14" s="185" t="s">
        <v>132</v>
      </c>
      <c r="P14" s="185"/>
      <c r="Q14" s="185"/>
      <c r="R14" s="211" t="s">
        <v>133</v>
      </c>
      <c r="S14" s="247" t="e">
        <f>(M9/2-4+Q7)/12</f>
        <v>#N/A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 t="e">
        <f>AC21</f>
        <v>#N/A</v>
      </c>
      <c r="O15" s="185" t="s">
        <v>109</v>
      </c>
      <c r="P15" s="185"/>
      <c r="Q15" s="185"/>
      <c r="R15" s="211" t="s">
        <v>141</v>
      </c>
      <c r="S15" s="247">
        <f>M7/2</f>
        <v>0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 t="e">
        <f>LINTEL10!$B23</f>
        <v>#VALUE!</v>
      </c>
      <c r="AH15" s="254" t="s">
        <v>143</v>
      </c>
      <c r="AI15" s="253" t="e">
        <f>LINTEL10!$D23</f>
        <v>#N/A</v>
      </c>
      <c r="AJ15" s="255" t="e">
        <f>AB86</f>
        <v>#N/A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 t="e">
        <f>AA9</f>
        <v>#N/A</v>
      </c>
      <c r="O16" s="185" t="s">
        <v>109</v>
      </c>
      <c r="P16" s="185"/>
      <c r="Q16" s="185"/>
      <c r="R16" s="186" t="s">
        <v>147</v>
      </c>
      <c r="S16" s="246" t="e">
        <f>N18+N17*S15+U4*S15</f>
        <v>#N/A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 t="e">
        <f>LINTEL10!$B24</f>
        <v>#VALUE!</v>
      </c>
      <c r="AH16" s="254" t="s">
        <v>151</v>
      </c>
      <c r="AI16" s="260" t="e">
        <f>LINTEL10!$D24</f>
        <v>#VALUE!</v>
      </c>
      <c r="AJ16" s="255" t="e">
        <f>AB79</f>
        <v>#VALUE!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</row>
    <row r="17" spans="1:48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 t="e">
        <f>(M4-M6-Q3/12)*N15+Q3/12*N16</f>
        <v>#N/A</v>
      </c>
      <c r="O17" s="185" t="s">
        <v>90</v>
      </c>
      <c r="P17" s="185"/>
      <c r="Q17" s="185"/>
      <c r="R17" s="186" t="s">
        <v>154</v>
      </c>
      <c r="S17" s="185" t="e">
        <f>U5*S15</f>
        <v>#VALUE!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 t="e">
        <f>1.3*Y91/1000</f>
        <v>#N/A</v>
      </c>
      <c r="AH17" s="254" t="s">
        <v>157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158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 t="e">
        <f>AA9*Q7/12*M4</f>
        <v>#N/A</v>
      </c>
      <c r="O18" s="185" t="s">
        <v>148</v>
      </c>
      <c r="P18" s="185"/>
      <c r="Q18" s="185"/>
      <c r="R18" s="186" t="s">
        <v>160</v>
      </c>
      <c r="S18" s="185" t="e">
        <f>U6*(S15+Q7/12)</f>
        <v>#VALUE!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 t="e">
        <f>Y106</f>
        <v>#VALUE!</v>
      </c>
      <c r="AH18" s="269" t="s">
        <v>163</v>
      </c>
      <c r="AI18" s="268">
        <f>Y105</f>
        <v>0</v>
      </c>
      <c r="AJ18" s="255" t="e">
        <f>AB106</f>
        <v>#VALUE!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164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 t="e">
        <f>S14*U7</f>
        <v>#N/A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 t="e">
        <f>Y94</f>
        <v>#N/A</v>
      </c>
      <c r="AH19" s="269" t="s">
        <v>168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169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MODULEINPUT!B30</f>
        <v>0</v>
      </c>
      <c r="N20" s="175"/>
      <c r="O20" s="175"/>
      <c r="P20" s="185"/>
      <c r="Q20" s="185"/>
      <c r="R20" s="186" t="s">
        <v>171</v>
      </c>
      <c r="S20" s="175">
        <f>U7*S15</f>
        <v>0</v>
      </c>
      <c r="T20" s="266" t="s">
        <v>172</v>
      </c>
      <c r="U20" s="185"/>
      <c r="V20" s="185"/>
      <c r="W20" s="188"/>
      <c r="X20" s="225" t="s">
        <v>117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173</v>
      </c>
      <c r="AG20" s="260" t="e">
        <f>AG16</f>
        <v>#VALUE!</v>
      </c>
      <c r="AH20" s="269" t="s">
        <v>174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175</v>
      </c>
      <c r="S21" s="247" t="e">
        <f ca="1">S14*U8</f>
        <v>#N/A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48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 t="e">
        <f ca="1">MODULEINPUT!P5*M21</f>
        <v>#N/A</v>
      </c>
      <c r="N22" s="185"/>
      <c r="O22" s="185"/>
      <c r="P22" s="185"/>
      <c r="Q22" s="185"/>
      <c r="R22" s="186" t="s">
        <v>178</v>
      </c>
      <c r="S22" s="175" t="e">
        <f ca="1">U8*S15</f>
        <v>#N/A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48" ht="15.75" customHeight="1">
      <c r="A23" s="17" t="s">
        <v>142</v>
      </c>
      <c r="B23" s="281" t="e">
        <f t="shared" ref="B23:B24" si="3">Y59/1000</f>
        <v>#VALUE!</v>
      </c>
      <c r="C23" s="17" t="s">
        <v>143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150</v>
      </c>
      <c r="B24" s="287" t="e">
        <f t="shared" si="3"/>
        <v>#VALUE!</v>
      </c>
      <c r="C24" s="17" t="s">
        <v>151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 t="e">
        <f ca="1">LINTEL10!$B31</f>
        <v>#N/A</v>
      </c>
      <c r="AH24" s="254" t="s">
        <v>143</v>
      </c>
      <c r="AI24" s="253" t="e">
        <f>LINTEL10!$D31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 t="e">
        <f ca="1">LINTEL10!$B32</f>
        <v>#N/A</v>
      </c>
      <c r="AH25" s="254" t="s">
        <v>143</v>
      </c>
      <c r="AI25" s="253" t="e">
        <f>LINTEL10!$D32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184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 t="e">
        <f ca="1">LINTEL10!$B33</f>
        <v>#N/A</v>
      </c>
      <c r="AH26" s="254" t="s">
        <v>151</v>
      </c>
      <c r="AI26" s="260" t="e">
        <f ca="1">LINTEL10!$D33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188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 t="e">
        <f>LINTEL10!$B34</f>
        <v>#N/A</v>
      </c>
      <c r="AH27" s="299" t="s">
        <v>192</v>
      </c>
      <c r="AI27" s="298" t="e">
        <f>LINTEL10!$D34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72" t="e">
        <f>IF(AJ17="FAIL",AK17,IF(AJ18="FAIL","Deflection Fails",IF(AJ20="FAIL",AK20,"")))</f>
        <v>#N/A</v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 t="e">
        <f>1*S19</f>
        <v>#N/A</v>
      </c>
      <c r="N28" s="207">
        <f>1*S20</f>
        <v>0</v>
      </c>
      <c r="O28" s="185"/>
      <c r="P28" s="207"/>
      <c r="Q28" s="305" t="s">
        <v>181</v>
      </c>
      <c r="R28" s="306" t="e">
        <f ca="1">S145</f>
        <v>#N/A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90</v>
      </c>
      <c r="P29" s="207"/>
      <c r="Q29" s="312" t="s">
        <v>183</v>
      </c>
      <c r="R29" s="313" t="e">
        <f t="shared" ref="R29:R30" ca="1" si="11">S147</f>
        <v>#N/A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 t="e">
        <f t="shared" ca="1" si="11"/>
        <v>#N/A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181</v>
      </c>
      <c r="B31" s="319" t="e">
        <f t="shared" ref="B31:B34" ca="1" si="12">M86/1000</f>
        <v>#N/A</v>
      </c>
      <c r="C31" s="318" t="s">
        <v>143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183</v>
      </c>
      <c r="B32" s="319" t="e">
        <f t="shared" ca="1" si="12"/>
        <v>#N/A</v>
      </c>
      <c r="C32" s="318" t="s">
        <v>143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 t="e">
        <f>(VLOOKUP(Q10,X26:Y32,2,FALSE))*Q9</f>
        <v>#N/A</v>
      </c>
      <c r="N32" s="266" t="s">
        <v>198</v>
      </c>
      <c r="O32" s="320" t="s">
        <v>199</v>
      </c>
      <c r="P32" s="321" t="e">
        <f>0.8*M35</f>
        <v>#N/A</v>
      </c>
      <c r="Q32" s="186"/>
      <c r="R32" s="313"/>
      <c r="S32" s="207"/>
      <c r="T32" s="186" t="s">
        <v>200</v>
      </c>
      <c r="U32" s="313" t="e">
        <f>(0.8*M10*P32*P33*(M34-P32/2))/12</f>
        <v>#N/A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150</v>
      </c>
      <c r="B33" s="324" t="e">
        <f t="shared" ca="1" si="12"/>
        <v>#N/A</v>
      </c>
      <c r="C33" s="318" t="s">
        <v>151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0</v>
      </c>
      <c r="Q33" s="186"/>
      <c r="R33" s="313"/>
      <c r="S33" s="207"/>
      <c r="T33" s="186" t="s">
        <v>203</v>
      </c>
      <c r="U33" s="313" t="e">
        <f>(M32*M33*(M34-P32/2))/12</f>
        <v>#N/A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 t="e">
        <f t="shared" si="12"/>
        <v>#N/A</v>
      </c>
      <c r="C34" s="318" t="s">
        <v>192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 t="e">
        <f>Q8</f>
        <v>#N/A</v>
      </c>
      <c r="N34" s="266" t="s">
        <v>205</v>
      </c>
      <c r="O34" s="320" t="s">
        <v>206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 t="e">
        <f>(0.0025/(0.0025+0.002069))*M34</f>
        <v>#N/A</v>
      </c>
      <c r="N35" s="266" t="s">
        <v>82</v>
      </c>
      <c r="O35" s="326" t="s">
        <v>157</v>
      </c>
      <c r="P35" s="327" t="e">
        <f>MIN(U32:U33)</f>
        <v>#N/A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ROUND(LINTEL10!F6/8,0)</f>
        <v>0</v>
      </c>
      <c r="D39" s="40" t="str">
        <f>""</f>
        <v/>
      </c>
      <c r="E39" s="40"/>
      <c r="F39" s="40"/>
      <c r="G39" s="93" t="s">
        <v>214</v>
      </c>
      <c r="H39" s="44">
        <f>ROUND(LINTEL10!F11/8,0)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CONCATENATE("(",LINTEL10!F7,")"," #",LINTEL10!F8)</f>
        <v>(0) #0</v>
      </c>
      <c r="D40" s="19"/>
      <c r="E40" s="19"/>
      <c r="F40" s="19"/>
      <c r="G40" s="17" t="s">
        <v>217</v>
      </c>
      <c r="H40" s="15" t="str">
        <f>CONCATENATE("(", IF(Q11=2,LINTEL10!F13*2,LINTEL10!F13),")"," #",LINTEL10!F14)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0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219</v>
      </c>
      <c r="D41" s="15" t="s">
        <v>220</v>
      </c>
      <c r="E41" s="19"/>
      <c r="F41" s="19"/>
      <c r="G41" s="17" t="s">
        <v>221</v>
      </c>
      <c r="H41" s="347" t="e">
        <f>LINTEL10!F12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125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0.66666666666666663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 t="e">
        <f>(Y44-Q3/12)*N15+Q3/12*N16</f>
        <v>#N/A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228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229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230</v>
      </c>
      <c r="Y49" s="362" t="e">
        <f>IF(Y43="No",U4+N17,Y45)</f>
        <v>#VALUE!</v>
      </c>
      <c r="Z49" s="266" t="s">
        <v>90</v>
      </c>
      <c r="AA49" s="363" t="s">
        <v>231</v>
      </c>
      <c r="AB49" s="364" t="e">
        <f>SUM(Y49:Y51)</f>
        <v>#VALUE!</v>
      </c>
      <c r="AC49" s="365" t="s">
        <v>90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232</v>
      </c>
      <c r="Y50" s="362" t="str">
        <f>IF(Y43="No",U5,0)</f>
        <v/>
      </c>
      <c r="Z50" s="266" t="s">
        <v>90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78"/>
      <c r="T51" s="579"/>
      <c r="U51" s="579"/>
      <c r="V51" s="580"/>
      <c r="W51" s="231"/>
      <c r="X51" s="207" t="s">
        <v>233</v>
      </c>
      <c r="Y51" s="362" t="str">
        <f>IF(Y43="No",U6,0)</f>
        <v/>
      </c>
      <c r="Z51" s="266" t="s">
        <v>90</v>
      </c>
      <c r="AA51" s="370" t="s">
        <v>234</v>
      </c>
      <c r="AB51" s="371" t="e">
        <f>AB49*(Y40^2)/8</f>
        <v>#VALUE!</v>
      </c>
      <c r="AC51" s="368" t="s">
        <v>235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236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191</v>
      </c>
      <c r="M55" s="379" t="e">
        <f>1.2*S16+1.6*(MAX(S17:S18))+0.8*(MIN(S17:S18))</f>
        <v>#N/A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 t="e">
        <f>1.2*Y49+1.6*Y50+0.5*Y51</f>
        <v>#VALUE!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240</v>
      </c>
      <c r="M56" s="185" t="e">
        <f>Q7*M5</f>
        <v>#N/A</v>
      </c>
      <c r="N56" s="185" t="s">
        <v>198</v>
      </c>
      <c r="O56" s="175"/>
      <c r="P56" s="211" t="s">
        <v>241</v>
      </c>
      <c r="Q56" s="381" t="e">
        <f>0.8*(0.8*M10*(M56-M32)+(M33*M32))*(1-(M59/140)^2)</f>
        <v>#N/A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 t="e">
        <f>1.2*Y49+1.6*Y51+Z54*Y50</f>
        <v>#VALUE!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244</v>
      </c>
      <c r="M57" s="265" t="e">
        <f>Q7*M5^3/12</f>
        <v>#N/A</v>
      </c>
      <c r="N57" s="185" t="s">
        <v>245</v>
      </c>
      <c r="O57" s="175"/>
      <c r="P57" s="211" t="s">
        <v>241</v>
      </c>
      <c r="Q57" s="381" t="e">
        <f>0.8*(0.8*M10*(M56-M32)+(M33*M32))*(70/M59)^2</f>
        <v>#N/A</v>
      </c>
      <c r="R57" s="175" t="s">
        <v>246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247</v>
      </c>
      <c r="M58" s="246" t="e">
        <f>SQRT(M57/M56)</f>
        <v>#N/A</v>
      </c>
      <c r="N58" s="185"/>
      <c r="O58" s="175"/>
      <c r="P58" s="384" t="s">
        <v>241</v>
      </c>
      <c r="Q58" s="385" t="e">
        <f>IF(M59&lt;99,Q56,Q57)</f>
        <v>#N/A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248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 t="e">
        <f>(Y57*Y40^2)/8</f>
        <v>#VALUE!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 t="e">
        <f>Y57*Y40/2</f>
        <v>#VALUE!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 t="e">
        <f>M5*Q3</f>
        <v>#N/A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 t="e">
        <f>MIN(Y59*12/(Y60*Q3),1)</f>
        <v>#VALUE!</v>
      </c>
      <c r="Z65" s="207"/>
      <c r="AA65" s="207"/>
      <c r="AB65" s="186" t="s">
        <v>174</v>
      </c>
      <c r="AC65" s="362" t="e">
        <f ca="1">0.6*0.6*S149*M5*(Q7-3/8)</f>
        <v>#N/A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 t="e">
        <f>(4-1.75*Y65)*Y64*SQRT(M10)</f>
        <v>#VALUE!</v>
      </c>
      <c r="Z66" s="396" t="s">
        <v>148</v>
      </c>
      <c r="AA66" s="207"/>
      <c r="AB66" s="207" t="s">
        <v>256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257</v>
      </c>
      <c r="M67" s="320" t="e">
        <f>N14</f>
        <v>#N/A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259</v>
      </c>
      <c r="M68" s="320" t="e">
        <f>M55/M56</f>
        <v>#N/A</v>
      </c>
      <c r="N68" s="185"/>
      <c r="O68" s="185"/>
      <c r="P68" s="207"/>
      <c r="Q68" s="175"/>
      <c r="R68" s="186" t="s">
        <v>188</v>
      </c>
      <c r="S68" s="397" t="e">
        <f ca="1">5*R28*(M4*12)^2/(48*57000*SQRT(M10)*M57)</f>
        <v>#N/A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261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262</v>
      </c>
      <c r="S69" s="397" t="e">
        <f>(1/2*M5)+0.5</f>
        <v>#N/A</v>
      </c>
      <c r="T69" s="207" t="s">
        <v>82</v>
      </c>
      <c r="U69" s="207"/>
      <c r="V69" s="207"/>
      <c r="W69" s="231"/>
      <c r="X69" s="211" t="s">
        <v>263</v>
      </c>
      <c r="Y69" s="186" t="e">
        <f>0.0007*M5*Q3</f>
        <v>#N/A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264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265</v>
      </c>
      <c r="S70" s="313" t="e">
        <f ca="1">((M55*S69)+(M55*S68))/12</f>
        <v>#N/A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0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265</v>
      </c>
      <c r="S71" s="402" t="e">
        <f>IF(M67&gt;30,S70,0)</f>
        <v>#N/A</v>
      </c>
      <c r="T71" s="403" t="s">
        <v>194</v>
      </c>
      <c r="U71" s="185"/>
      <c r="V71" s="185"/>
      <c r="W71" s="188"/>
      <c r="X71" s="211" t="s">
        <v>267</v>
      </c>
      <c r="Y71" s="175" t="e">
        <f>IF(0.8*Y66&gt;Y60,0,Y60/0.8-Y66)</f>
        <v>#VALUE!</v>
      </c>
      <c r="Z71" s="175" t="s">
        <v>148</v>
      </c>
      <c r="AA71" s="175" t="s">
        <v>256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274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275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276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277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278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 t="e">
        <f>0.8*(Y71+Y66)</f>
        <v>#VALUE!</v>
      </c>
      <c r="Z79" s="396" t="s">
        <v>148</v>
      </c>
      <c r="AA79" s="185" t="s">
        <v>256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279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280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0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 t="e">
        <f>(VLOOKUP(Q5,X26:Y32,2,FALSE))*Q4</f>
        <v>#N/A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 t="e">
        <f>Y83*Y84/(0.8*M10*Q3)</f>
        <v>#N/A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181</v>
      </c>
      <c r="M86" s="265" t="e">
        <f ca="1">R28+S71</f>
        <v>#N/A</v>
      </c>
      <c r="N86" s="186" t="s">
        <v>143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143</v>
      </c>
      <c r="Y86" s="417" t="e">
        <f>0.9*(Y83*Y84*(Y82-Y85/2))/12</f>
        <v>#N/A</v>
      </c>
      <c r="Z86" s="396" t="s">
        <v>235</v>
      </c>
      <c r="AA86" s="185" t="s">
        <v>256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183</v>
      </c>
      <c r="M87" s="265" t="e">
        <f ca="1">IF(R29=0,0.01,ABS(R29))</f>
        <v>#N/A</v>
      </c>
      <c r="N87" s="186" t="s">
        <v>143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150</v>
      </c>
      <c r="M88" s="265" t="e">
        <f ca="1">R30</f>
        <v>#N/A</v>
      </c>
      <c r="N88" s="186" t="s">
        <v>151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191</v>
      </c>
      <c r="M89" s="185" t="e">
        <f>M55</f>
        <v>#N/A</v>
      </c>
      <c r="N89" s="186" t="s">
        <v>192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 t="e">
        <f>M5*(Q3^2)/6</f>
        <v>#N/A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 t="e">
        <f>Y89*Y90/12</f>
        <v>#N/A</v>
      </c>
      <c r="Z91" s="185" t="s">
        <v>235</v>
      </c>
      <c r="AA91" s="185" t="s">
        <v>256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85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295</v>
      </c>
      <c r="M94" s="426" t="e">
        <f ca="1">S21+S22</f>
        <v>#N/A</v>
      </c>
      <c r="N94" s="427"/>
      <c r="O94" s="428" t="s">
        <v>295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167</v>
      </c>
      <c r="Y94" s="431" t="e">
        <f>0.64*M10/(U10*1000)*(0.0025/(1.5*U10/29000+0.0025))*M5*Q3</f>
        <v>#N/A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296</v>
      </c>
      <c r="M95" s="432">
        <f>M8</f>
        <v>-9.9999999999999995E-8</v>
      </c>
      <c r="N95" s="427"/>
      <c r="O95" s="428" t="s">
        <v>297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256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199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300</v>
      </c>
      <c r="M98" s="433" t="e">
        <f ca="1">M94*($M$95+$M$96)^2/(2*$M$95)</f>
        <v>#N/A</v>
      </c>
      <c r="N98" s="427"/>
      <c r="O98" s="428" t="s">
        <v>300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302</v>
      </c>
      <c r="M99" s="433" t="e">
        <f ca="1">M94*($M$95^2-$M$96^2)/(2*$M$95)</f>
        <v>#N/A</v>
      </c>
      <c r="N99" s="427"/>
      <c r="O99" s="428" t="s">
        <v>302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303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304</v>
      </c>
      <c r="M100" s="433" t="e">
        <f ca="1">M94*(M95+M96)</f>
        <v>#N/A</v>
      </c>
      <c r="N100" s="427"/>
      <c r="O100" s="428" t="s">
        <v>304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305</v>
      </c>
      <c r="Y101" s="265" t="e">
        <f>M5*(Q3^3)/12</f>
        <v>#N/A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308</v>
      </c>
      <c r="Y102" s="265" t="e">
        <f>M5*(Y99^3)/3+Y98*Y83*(Y82-Y99)^2</f>
        <v>#N/A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309</v>
      </c>
      <c r="Y103" s="362" t="e">
        <f>(Y91/AB51)^3*Y101+(1-(Y91/AB51)^3)*Y102</f>
        <v>#N/A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163</v>
      </c>
      <c r="Y105" s="175">
        <f>M7*12/600</f>
        <v>0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162</v>
      </c>
      <c r="Y106" s="320" t="e">
        <f>(5*AB49/12*(M7*12)^4)/(384*900*M10*Y103)</f>
        <v>#VALUE!</v>
      </c>
      <c r="Z106" s="185" t="s">
        <v>82</v>
      </c>
      <c r="AA106" s="185" t="s">
        <v>256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310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312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313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315</v>
      </c>
      <c r="M115" s="430" t="e">
        <f t="shared" ref="M115:M116" ca="1" si="19">S21</f>
        <v>#N/A</v>
      </c>
      <c r="N115" s="427"/>
      <c r="O115" s="428" t="s">
        <v>315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316</v>
      </c>
      <c r="M116" s="430" t="e">
        <f t="shared" ca="1" si="19"/>
        <v>#N/A</v>
      </c>
      <c r="N116" s="427"/>
      <c r="O116" s="428" t="s">
        <v>316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296</v>
      </c>
      <c r="M117" s="432">
        <f>M8</f>
        <v>-9.9999999999999995E-8</v>
      </c>
      <c r="N117" s="427"/>
      <c r="O117" s="428" t="s">
        <v>317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199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202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208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300</v>
      </c>
      <c r="M122" s="433" t="e">
        <f ca="1">(M115*($M$117+$M$118)^2/2+M116*$M$120*($M$117-$M$119+$M$120/2))/$M$117</f>
        <v>#N/A</v>
      </c>
      <c r="N122" s="427"/>
      <c r="O122" s="428" t="s">
        <v>300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302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302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304</v>
      </c>
      <c r="M124" s="433" t="e">
        <f ca="1">M115*(M117+M118)+M116*M120</f>
        <v>#N/A</v>
      </c>
      <c r="N124" s="427"/>
      <c r="O124" s="428" t="s">
        <v>304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318</v>
      </c>
      <c r="M136" s="438" t="e">
        <f ca="1">M123/M115</f>
        <v>#N/A</v>
      </c>
      <c r="N136" s="437" t="e">
        <f ca="1">N127*M136/2</f>
        <v>#N/A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319</v>
      </c>
      <c r="M137" s="438" t="e">
        <f>P123/P115</f>
        <v>#N/A</v>
      </c>
      <c r="N137" s="437" t="s">
        <v>144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328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329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330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331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332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8" priority="9">
      <formula>LEN(TRIM(B28))&gt;0</formula>
    </cfRule>
  </conditionalFormatting>
  <conditionalFormatting sqref="D23:D24 D31:D34">
    <cfRule type="cellIs" dxfId="7" priority="8" operator="lessThan">
      <formula>B23</formula>
    </cfRule>
  </conditionalFormatting>
  <conditionalFormatting sqref="F6:F9 I6:I11 C6:C12 F11:F14">
    <cfRule type="expression" dxfId="6" priority="10">
      <formula>_xludf.isformula(C6)=FALSE</formula>
    </cfRule>
  </conditionalFormatting>
  <conditionalFormatting sqref="G6:G8">
    <cfRule type="notContainsBlanks" dxfId="5" priority="7">
      <formula>LEN(TRIM(G6))&gt;0</formula>
    </cfRule>
  </conditionalFormatting>
  <conditionalFormatting sqref="I44">
    <cfRule type="cellIs" dxfId="4" priority="6" operator="notEqual">
      <formula>"OK"</formula>
    </cfRule>
  </conditionalFormatting>
  <conditionalFormatting sqref="AJ15:AJ20 AJ24:AJ27">
    <cfRule type="cellIs" dxfId="3" priority="1" operator="equal">
      <formula>"PASS"</formula>
    </cfRule>
  </conditionalFormatting>
  <conditionalFormatting sqref="AM11">
    <cfRule type="cellIs" dxfId="2" priority="2" operator="equal">
      <formula>"OK"</formula>
    </cfRule>
    <cfRule type="cellIs" dxfId="1" priority="3" operator="equal">
      <formula>"TRUE"</formula>
    </cfRule>
    <cfRule type="cellIs" dxfId="0" priority="4" operator="equal">
      <formula>"PASS"</formula>
    </cfRule>
  </conditionalFormatting>
  <dataValidations count="2">
    <dataValidation type="list" allowBlank="1" sqref="C7" xr:uid="{00000000-0002-0000-0B00-000000000000}">
      <formula1>$X$5:$X$8</formula1>
    </dataValidation>
    <dataValidation type="list" allowBlank="1" sqref="C11" xr:uid="{00000000-0002-0000-0B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C47"/>
  <sheetViews>
    <sheetView topLeftCell="A5" workbookViewId="0">
      <selection activeCell="A4" sqref="A4:I4"/>
    </sheetView>
  </sheetViews>
  <sheetFormatPr defaultColWidth="14.42578125" defaultRowHeight="15.75" customHeight="1"/>
  <cols>
    <col min="1" max="3" width="12.28515625" customWidth="1"/>
    <col min="4" max="7" width="10.5703125" customWidth="1"/>
    <col min="8" max="8" width="12.28515625" customWidth="1"/>
    <col min="9" max="9" width="18.85546875" customWidth="1"/>
    <col min="10" max="14" width="11.28515625" hidden="1" customWidth="1"/>
    <col min="15" max="29" width="11.28515625" customWidth="1"/>
  </cols>
  <sheetData>
    <row r="1" spans="1:29" ht="46.5" customHeight="1">
      <c r="A1" s="1" t="s">
        <v>0</v>
      </c>
      <c r="B1" s="2"/>
      <c r="C1" s="2"/>
      <c r="D1" s="2"/>
      <c r="E1" s="3"/>
      <c r="F1" s="4"/>
      <c r="G1" s="3"/>
      <c r="H1" s="4"/>
      <c r="I1" s="3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</row>
    <row r="2" spans="1:29" ht="12.75">
      <c r="A2" s="138"/>
      <c r="B2" s="139"/>
      <c r="C2" s="139"/>
      <c r="D2" s="138"/>
      <c r="E2" s="140"/>
      <c r="F2" s="140"/>
      <c r="G2" s="140"/>
      <c r="H2" s="141"/>
      <c r="I2" s="140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3"/>
      <c r="W2" s="143"/>
      <c r="X2" s="143"/>
      <c r="Y2" s="143"/>
      <c r="Z2" s="143"/>
      <c r="AA2" s="143"/>
      <c r="AB2" s="143"/>
      <c r="AC2" s="143"/>
    </row>
    <row r="3" spans="1:29" ht="15">
      <c r="A3" s="558" t="str">
        <f>MODULEINPUT!A3</f>
        <v>CREECH DRP PH2 - LEVEL 2 OPENING</v>
      </c>
      <c r="B3" s="559"/>
      <c r="C3" s="559"/>
      <c r="D3" s="559"/>
      <c r="E3" s="522"/>
      <c r="F3" s="3"/>
      <c r="G3" s="3"/>
      <c r="H3" s="10"/>
      <c r="I3" s="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1"/>
      <c r="W3" s="11"/>
      <c r="X3" s="11"/>
      <c r="Y3" s="11"/>
      <c r="Z3" s="11"/>
      <c r="AA3" s="11"/>
      <c r="AB3" s="11"/>
      <c r="AC3" s="11"/>
    </row>
    <row r="4" spans="1:29" ht="12.75">
      <c r="A4" s="11"/>
      <c r="B4" s="2"/>
      <c r="C4" s="2"/>
      <c r="D4" s="11"/>
      <c r="E4" s="3"/>
      <c r="F4" s="3"/>
      <c r="G4" s="3"/>
      <c r="H4" s="10"/>
      <c r="I4" s="3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11"/>
      <c r="W4" s="11"/>
      <c r="X4" s="11"/>
      <c r="Y4" s="11"/>
      <c r="Z4" s="11"/>
      <c r="AA4" s="11"/>
      <c r="AB4" s="11"/>
      <c r="AC4" s="11"/>
    </row>
    <row r="5" spans="1:29" ht="12.75">
      <c r="A5" s="10"/>
      <c r="B5" s="144"/>
      <c r="C5" s="11"/>
      <c r="D5" s="11"/>
      <c r="E5" s="3"/>
      <c r="F5" s="3"/>
      <c r="G5" s="3"/>
      <c r="H5" s="10"/>
      <c r="I5" s="3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11"/>
      <c r="W5" s="11"/>
      <c r="X5" s="11"/>
      <c r="Y5" s="11"/>
      <c r="Z5" s="11"/>
      <c r="AA5" s="11"/>
      <c r="AB5" s="11"/>
      <c r="AC5" s="11"/>
    </row>
    <row r="6" spans="1:29">
      <c r="A6" s="145"/>
      <c r="B6" s="145"/>
      <c r="C6" s="145"/>
      <c r="D6" s="145"/>
      <c r="E6" s="146"/>
      <c r="F6" s="146"/>
      <c r="G6" s="146"/>
      <c r="H6" s="145"/>
      <c r="I6" s="147" t="s">
        <v>56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11"/>
      <c r="W6" s="11"/>
      <c r="X6" s="11"/>
      <c r="Y6" s="11"/>
      <c r="Z6" s="11"/>
      <c r="AA6" s="11"/>
      <c r="AB6" s="11"/>
      <c r="AC6" s="11"/>
    </row>
    <row r="7" spans="1:29" ht="12.75">
      <c r="A7" s="551" t="s">
        <v>57</v>
      </c>
      <c r="B7" s="551" t="s">
        <v>48</v>
      </c>
      <c r="C7" s="551" t="s">
        <v>58</v>
      </c>
      <c r="D7" s="553" t="s">
        <v>59</v>
      </c>
      <c r="E7" s="554"/>
      <c r="F7" s="554"/>
      <c r="G7" s="555"/>
      <c r="H7" s="556" t="s">
        <v>60</v>
      </c>
      <c r="I7" s="557" t="s">
        <v>61</v>
      </c>
      <c r="J7" s="148"/>
      <c r="K7" s="2"/>
      <c r="L7" s="2"/>
      <c r="M7" s="2"/>
      <c r="N7" s="2"/>
      <c r="O7" s="2"/>
      <c r="P7" s="2"/>
      <c r="Q7" s="2"/>
      <c r="R7" s="2"/>
      <c r="S7" s="2"/>
      <c r="T7" s="2"/>
      <c r="U7" s="11"/>
      <c r="V7" s="11"/>
      <c r="W7" s="11"/>
      <c r="X7" s="11"/>
      <c r="Y7" s="11"/>
      <c r="Z7" s="11"/>
      <c r="AA7" s="11"/>
      <c r="AB7" s="11"/>
    </row>
    <row r="8" spans="1:29" ht="12.75">
      <c r="A8" s="552"/>
      <c r="B8" s="552"/>
      <c r="C8" s="552"/>
      <c r="D8" s="548" t="s">
        <v>62</v>
      </c>
      <c r="E8" s="547"/>
      <c r="F8" s="546" t="s">
        <v>63</v>
      </c>
      <c r="G8" s="547"/>
      <c r="H8" s="552"/>
      <c r="I8" s="552"/>
      <c r="J8" s="148"/>
      <c r="K8" s="2" t="s">
        <v>64</v>
      </c>
      <c r="L8" s="2" t="s">
        <v>65</v>
      </c>
      <c r="M8" s="2" t="s">
        <v>66</v>
      </c>
      <c r="N8" s="2" t="s">
        <v>67</v>
      </c>
      <c r="O8" s="2"/>
      <c r="P8" s="2"/>
      <c r="Q8" s="2"/>
      <c r="R8" s="2"/>
      <c r="S8" s="2"/>
      <c r="T8" s="2"/>
      <c r="U8" s="11"/>
      <c r="V8" s="11"/>
      <c r="W8" s="11"/>
      <c r="X8" s="11"/>
      <c r="Y8" s="11"/>
      <c r="Z8" s="11"/>
      <c r="AA8" s="11"/>
      <c r="AB8" s="11"/>
    </row>
    <row r="9" spans="1:29" ht="12.75">
      <c r="A9" s="152" t="str">
        <f>IF(MODULEINPUT!A21="","",MODULEINPUT!A21)</f>
        <v>ML1</v>
      </c>
      <c r="B9" s="149">
        <f>IF(A9="","", LINTEL1!$F$6)</f>
        <v>24</v>
      </c>
      <c r="C9" s="150" t="str">
        <f t="shared" ref="C9:C18" si="0">IF(A9="","",IF(K9="Y",IF(M9=2,"TYPE C","TYPE B"),"TYPE A"))</f>
        <v>TYPE A</v>
      </c>
      <c r="D9" s="537" t="str">
        <f>IF(A9="","",LINTEL1!$C$40)</f>
        <v>(2) #5</v>
      </c>
      <c r="E9" s="538"/>
      <c r="F9" s="539" t="str">
        <f t="shared" ref="F9:F18" si="1">IF(A9="","",IF(K9="Y",L9&amp;" "&amp;N9&amp;""" OC","--"))</f>
        <v>--</v>
      </c>
      <c r="G9" s="540"/>
      <c r="H9" s="151" t="str">
        <f t="shared" ref="H9:H18" si="2">IF(A9="","",A9 &amp; " C")</f>
        <v>ML1 C</v>
      </c>
      <c r="I9" s="151"/>
      <c r="J9" s="148"/>
      <c r="K9" s="2" t="str">
        <f>IF(LINTEL1!$Y$71=0,"N","Y")</f>
        <v>N</v>
      </c>
      <c r="L9" s="2" t="str">
        <f>IF(AND(LINTEL1!$Z$74="-",LINTEL1!$AB$74="-"),IF(AND(LINTEL1!$Z$75="-",LINTEL1!$AB$75="-"),IF(AND(LINTEL1!$Z$76="-",LINTEL1!$AB$76="-"),"NA","#5 @"),"#4 @"),"#3 @")</f>
        <v>NA</v>
      </c>
      <c r="M9" s="2" t="e">
        <f>IF(VLOOKUP(L9,LINTEL1!$X$74:$AB$76,3,FALSE)="-",2,1)</f>
        <v>#N/A</v>
      </c>
      <c r="N9" s="2" t="e">
        <f>VLOOKUP(L9,LINTEL1!$X$74:$AB$76,IF(M9=1,3,5))</f>
        <v>#N/A</v>
      </c>
      <c r="O9" s="2"/>
      <c r="P9" s="2"/>
      <c r="Q9" s="2"/>
      <c r="R9" s="2"/>
      <c r="S9" s="2"/>
      <c r="T9" s="2"/>
      <c r="U9" s="11"/>
      <c r="V9" s="11"/>
      <c r="W9" s="11"/>
      <c r="X9" s="11"/>
      <c r="Y9" s="11"/>
      <c r="Z9" s="11"/>
      <c r="AA9" s="11"/>
      <c r="AB9" s="11"/>
    </row>
    <row r="10" spans="1:29" ht="12.75">
      <c r="A10" s="152" t="str">
        <f>IF(MODULEINPUT!A22="","",MODULEINPUT!A22)</f>
        <v>ML2</v>
      </c>
      <c r="B10" s="149">
        <f>IF(A10="","", LINTEL2!$F$6)</f>
        <v>16</v>
      </c>
      <c r="C10" s="150" t="str">
        <f t="shared" si="0"/>
        <v>TYPE A</v>
      </c>
      <c r="D10" s="537" t="str">
        <f>IF(A10="","",LINTEL2!$C$40)</f>
        <v>(2) #5</v>
      </c>
      <c r="E10" s="538"/>
      <c r="F10" s="539" t="str">
        <f t="shared" si="1"/>
        <v>--</v>
      </c>
      <c r="G10" s="540"/>
      <c r="H10" s="151" t="str">
        <f t="shared" si="2"/>
        <v>ML2 C</v>
      </c>
      <c r="I10" s="153"/>
      <c r="J10" s="148"/>
      <c r="K10" s="2" t="str">
        <f>IF(LINTEL2!$Y$71=0,"N","Y")</f>
        <v>N</v>
      </c>
      <c r="L10" s="2" t="str">
        <f>IF(AND(LINTEL2!$Z$74="-",LINTEL2!$AB$74="-"),IF(AND(LINTEL2!$Z$75="-",LINTEL2!$AB$75="-"),IF(AND(LINTEL2!$Z$76="-",LINTEL2!$AB$76="-"),"NA","#5 @"),"#4 @"),"#3 @")</f>
        <v>NA</v>
      </c>
      <c r="M10" s="2" t="e">
        <f>IF(VLOOKUP(L10,LINTEL2!$X$74:$AB$76,3,FALSE)="-",2,1)</f>
        <v>#N/A</v>
      </c>
      <c r="N10" s="2" t="e">
        <f>VLOOKUP(L10,LINTEL2!$X$74:$AB$76,IF(M10=1,3,5))</f>
        <v>#N/A</v>
      </c>
      <c r="O10" s="2"/>
      <c r="P10" s="2"/>
      <c r="Q10" s="2"/>
      <c r="R10" s="2"/>
      <c r="S10" s="2"/>
      <c r="T10" s="2"/>
      <c r="U10" s="11"/>
      <c r="V10" s="11"/>
      <c r="W10" s="11"/>
      <c r="X10" s="11"/>
      <c r="Y10" s="11"/>
      <c r="Z10" s="11"/>
      <c r="AA10" s="11"/>
      <c r="AB10" s="11"/>
    </row>
    <row r="11" spans="1:29" ht="12.75">
      <c r="A11" s="152" t="str">
        <f>IF(MODULEINPUT!A23="","",MODULEINPUT!A23)</f>
        <v/>
      </c>
      <c r="B11" s="149" t="str">
        <f>IF(A11="","", LINTEL3!$F$6)</f>
        <v/>
      </c>
      <c r="C11" s="150" t="str">
        <f t="shared" si="0"/>
        <v/>
      </c>
      <c r="D11" s="537" t="str">
        <f>IF(A11="","",LINTEL3!$C$40)</f>
        <v/>
      </c>
      <c r="E11" s="538"/>
      <c r="F11" s="539" t="str">
        <f t="shared" si="1"/>
        <v/>
      </c>
      <c r="G11" s="540"/>
      <c r="H11" s="151" t="str">
        <f t="shared" si="2"/>
        <v/>
      </c>
      <c r="I11" s="153"/>
      <c r="J11" s="148"/>
      <c r="K11" s="2" t="e">
        <f>IF(LINTEL3!$Y$71=0,"N","Y")</f>
        <v>#VALUE!</v>
      </c>
      <c r="L11" s="2" t="e">
        <f>IF(AND(LINTEL3!$Z$74="-",LINTEL3!$AB$74="-"),IF(AND(LINTEL3!$Z$75="-",LINTEL3!$AB$75="-"),IF(AND(LINTEL3!$Z$76="-",LINTEL3!$AB$76="-"),"NA","#5 @"),"#4 @"),"#3 @")</f>
        <v>#VALUE!</v>
      </c>
      <c r="M11" s="2" t="e">
        <f>IF(VLOOKUP(L11,LINTEL3!$X$74:$AB$76,3,FALSE)="-",2,1)</f>
        <v>#VALUE!</v>
      </c>
      <c r="N11" s="2" t="e">
        <f>VLOOKUP(L11,LINTEL3!$X$74:$AB$76,IF(M11=1,3,5))</f>
        <v>#VALUE!</v>
      </c>
      <c r="O11" s="2"/>
      <c r="P11" s="2"/>
      <c r="Q11" s="2"/>
      <c r="R11" s="2"/>
      <c r="S11" s="2"/>
      <c r="T11" s="2"/>
      <c r="U11" s="11"/>
      <c r="V11" s="11"/>
      <c r="W11" s="11"/>
      <c r="X11" s="11"/>
      <c r="Y11" s="11"/>
      <c r="Z11" s="11"/>
      <c r="AA11" s="11"/>
      <c r="AB11" s="11"/>
    </row>
    <row r="12" spans="1:29" ht="12.75">
      <c r="A12" s="152" t="str">
        <f>IF(MODULEINPUT!A24="","",MODULEINPUT!A24)</f>
        <v/>
      </c>
      <c r="B12" s="149" t="str">
        <f>IF(A12="","", LINTEL4!$F$6)</f>
        <v/>
      </c>
      <c r="C12" s="150" t="str">
        <f t="shared" si="0"/>
        <v/>
      </c>
      <c r="D12" s="537" t="str">
        <f>IF(A12="","",LINTEL4!$C$40)</f>
        <v/>
      </c>
      <c r="E12" s="538"/>
      <c r="F12" s="539" t="str">
        <f t="shared" si="1"/>
        <v/>
      </c>
      <c r="G12" s="540"/>
      <c r="H12" s="151" t="str">
        <f t="shared" si="2"/>
        <v/>
      </c>
      <c r="I12" s="153"/>
      <c r="J12" s="148"/>
      <c r="K12" s="2" t="e">
        <f>IF(LINTEL4!$Y$71=0,"N","Y")</f>
        <v>#VALUE!</v>
      </c>
      <c r="L12" s="2" t="e">
        <f>IF(AND(LINTEL4!$Z$74="-",LINTEL4!$AB$74="-"),IF(AND(LINTEL4!$Z$75="-",LINTEL4!$AB$75="-"),IF(AND(LINTEL4!$Z$76="-",LINTEL4!$AB$76="-"),"NA","#5 @"),"#4 @"),"#3 @")</f>
        <v>#VALUE!</v>
      </c>
      <c r="M12" s="2" t="e">
        <f>IF(VLOOKUP(L12,LINTEL4!$X$74:$AB$76,3,FALSE)="-",2,1)</f>
        <v>#VALUE!</v>
      </c>
      <c r="N12" s="2" t="e">
        <f>VLOOKUP(L12,LINTEL4!$X$74:$AB$76,IF(M12=1,3,5))</f>
        <v>#VALUE!</v>
      </c>
      <c r="O12" s="2"/>
      <c r="P12" s="2"/>
      <c r="Q12" s="2"/>
      <c r="R12" s="2"/>
      <c r="S12" s="2"/>
      <c r="T12" s="2"/>
      <c r="U12" s="11"/>
      <c r="V12" s="11"/>
      <c r="W12" s="11"/>
      <c r="X12" s="11"/>
      <c r="Y12" s="11"/>
      <c r="Z12" s="11"/>
      <c r="AA12" s="11"/>
      <c r="AB12" s="11"/>
    </row>
    <row r="13" spans="1:29" ht="12.75">
      <c r="A13" s="152" t="str">
        <f>IF(MODULEINPUT!A25="","",MODULEINPUT!A25)</f>
        <v/>
      </c>
      <c r="B13" s="149" t="str">
        <f>IF(A13="","", LINTEL5!$F$6)</f>
        <v/>
      </c>
      <c r="C13" s="150" t="str">
        <f t="shared" si="0"/>
        <v/>
      </c>
      <c r="D13" s="537" t="str">
        <f>IF(A13="","",LINTEL5!$C$40)</f>
        <v/>
      </c>
      <c r="E13" s="538"/>
      <c r="F13" s="539" t="str">
        <f t="shared" si="1"/>
        <v/>
      </c>
      <c r="G13" s="540"/>
      <c r="H13" s="151" t="str">
        <f t="shared" si="2"/>
        <v/>
      </c>
      <c r="I13" s="153"/>
      <c r="J13" s="148"/>
      <c r="K13" s="2" t="e">
        <f>IF(LINTEL5!$Y$71=0,"N","Y")</f>
        <v>#VALUE!</v>
      </c>
      <c r="L13" s="2" t="e">
        <f>IF(AND(LINTEL5!$Z$74="-",LINTEL5!$AB$74="-"),IF(AND(LINTEL5!$Z$75="-",LINTEL5!$AB$75="-"),IF(AND(LINTEL5!$Z$76="-",LINTEL5!$AB$76="-"),"NA","#5 @"),"#4 @"),"#3 @")</f>
        <v>#VALUE!</v>
      </c>
      <c r="M13" s="2" t="e">
        <f>IF(VLOOKUP(L13,LINTEL5!$X$74:$AB$76,3,FALSE)="-",2,1)</f>
        <v>#VALUE!</v>
      </c>
      <c r="N13" s="2" t="e">
        <f>VLOOKUP(L13,LINTEL5!$X$74:$AB$76,IF(M13=1,3,5))</f>
        <v>#VALUE!</v>
      </c>
      <c r="O13" s="2"/>
      <c r="P13" s="2"/>
      <c r="Q13" s="2"/>
      <c r="R13" s="2"/>
      <c r="S13" s="2"/>
      <c r="T13" s="2"/>
      <c r="U13" s="11"/>
      <c r="V13" s="11"/>
      <c r="W13" s="11"/>
      <c r="X13" s="11"/>
      <c r="Y13" s="11"/>
      <c r="Z13" s="11"/>
      <c r="AA13" s="11"/>
      <c r="AB13" s="11"/>
    </row>
    <row r="14" spans="1:29" ht="12.75">
      <c r="A14" s="152" t="str">
        <f>IF(MODULEINPUT!A26="","",MODULEINPUT!A26)</f>
        <v/>
      </c>
      <c r="B14" s="149" t="str">
        <f>IF(A14="","", LINTEL6!$F$6)</f>
        <v/>
      </c>
      <c r="C14" s="150" t="str">
        <f t="shared" si="0"/>
        <v/>
      </c>
      <c r="D14" s="537" t="str">
        <f>IF(A14="","",LINTEL6!$C$40)</f>
        <v/>
      </c>
      <c r="E14" s="538"/>
      <c r="F14" s="539" t="str">
        <f t="shared" si="1"/>
        <v/>
      </c>
      <c r="G14" s="540"/>
      <c r="H14" s="151" t="str">
        <f t="shared" si="2"/>
        <v/>
      </c>
      <c r="I14" s="153"/>
      <c r="J14" s="148"/>
      <c r="K14" s="2" t="e">
        <f>IF(LINTEL6!$Y$71=0,"N","Y")</f>
        <v>#VALUE!</v>
      </c>
      <c r="L14" s="2" t="e">
        <f>IF(AND(LINTEL6!$Z$74="-",LINTEL6!$AB$74="-"),IF(AND(LINTEL6!$Z$75="-",LINTEL6!$AB$75="-"),IF(AND(LINTEL6!$Z$76="-",LINTEL6!$AB$76="-"),"NA","#5 @"),"#4 @"),"#3 @")</f>
        <v>#VALUE!</v>
      </c>
      <c r="M14" s="2" t="e">
        <f>IF(VLOOKUP(L14,LINTEL6!$X$74:$AB$76,3,FALSE)="-",2,1)</f>
        <v>#VALUE!</v>
      </c>
      <c r="N14" s="2" t="e">
        <f>VLOOKUP(L14,LINTEL6!$X$74:$AB$76,IF(M14=1,3,5))</f>
        <v>#VALUE!</v>
      </c>
      <c r="O14" s="2"/>
      <c r="P14" s="2"/>
      <c r="Q14" s="2"/>
      <c r="R14" s="2"/>
      <c r="S14" s="2"/>
      <c r="T14" s="2"/>
      <c r="U14" s="11"/>
      <c r="V14" s="11"/>
      <c r="W14" s="11"/>
      <c r="X14" s="11"/>
      <c r="Y14" s="11"/>
      <c r="Z14" s="11"/>
      <c r="AA14" s="11"/>
      <c r="AB14" s="11"/>
    </row>
    <row r="15" spans="1:29" ht="12.75">
      <c r="A15" s="152" t="str">
        <f>IF(MODULEINPUT!A27="","",MODULEINPUT!A27)</f>
        <v/>
      </c>
      <c r="B15" s="149" t="str">
        <f>IF(A15="","", LINTEL7!$F$6)</f>
        <v/>
      </c>
      <c r="C15" s="150" t="str">
        <f t="shared" si="0"/>
        <v/>
      </c>
      <c r="D15" s="537" t="str">
        <f>IF(A15="","",LINTEL7!$C$40)</f>
        <v/>
      </c>
      <c r="E15" s="538"/>
      <c r="F15" s="539" t="str">
        <f t="shared" si="1"/>
        <v/>
      </c>
      <c r="G15" s="540"/>
      <c r="H15" s="151" t="str">
        <f t="shared" si="2"/>
        <v/>
      </c>
      <c r="I15" s="153"/>
      <c r="J15" s="148"/>
      <c r="K15" s="2" t="e">
        <f>IF(LINTEL7!$Y$71=0,"N","Y")</f>
        <v>#VALUE!</v>
      </c>
      <c r="L15" s="2" t="e">
        <f>IF(AND(LINTEL7!$Z$74="-",LINTEL7!$AB$74="-"),IF(AND(LINTEL7!$Z$75="-",LINTEL7!$AB$75="-"),IF(AND(LINTEL7!$Z$76="-",LINTEL7!$AB$76="-"),"NA","#5 @"),"#4 @"),"#3 @")</f>
        <v>#VALUE!</v>
      </c>
      <c r="M15" s="2" t="e">
        <f>IF(VLOOKUP(L15,LINTEL7!$X$74:$AB$76,3,FALSE)="-",2,1)</f>
        <v>#VALUE!</v>
      </c>
      <c r="N15" s="2" t="e">
        <f>VLOOKUP(L15,LINTEL7!$X$74:$AB$76,IF(M15=1,3,5))</f>
        <v>#VALUE!</v>
      </c>
      <c r="O15" s="2"/>
      <c r="P15" s="2"/>
      <c r="Q15" s="2"/>
      <c r="R15" s="2"/>
      <c r="S15" s="2"/>
      <c r="T15" s="2"/>
      <c r="U15" s="11"/>
      <c r="V15" s="11"/>
      <c r="W15" s="11"/>
      <c r="X15" s="11"/>
      <c r="Y15" s="11"/>
      <c r="Z15" s="11"/>
      <c r="AA15" s="11"/>
      <c r="AB15" s="11"/>
    </row>
    <row r="16" spans="1:29" ht="12.75">
      <c r="A16" s="152" t="str">
        <f>IF(MODULEINPUT!A28="","",MODULEINPUT!A28)</f>
        <v/>
      </c>
      <c r="B16" s="149" t="str">
        <f>IF(A16="","", LINTEL8!$F$6)</f>
        <v/>
      </c>
      <c r="C16" s="150" t="str">
        <f t="shared" si="0"/>
        <v/>
      </c>
      <c r="D16" s="537" t="str">
        <f>IF(A16="","",LINTEL8!$C$40)</f>
        <v/>
      </c>
      <c r="E16" s="538"/>
      <c r="F16" s="539" t="str">
        <f t="shared" si="1"/>
        <v/>
      </c>
      <c r="G16" s="540"/>
      <c r="H16" s="151" t="str">
        <f t="shared" si="2"/>
        <v/>
      </c>
      <c r="I16" s="153"/>
      <c r="J16" s="148"/>
      <c r="K16" s="2" t="e">
        <f>IF(LINTEL8!$Y$71=0,"N","Y")</f>
        <v>#VALUE!</v>
      </c>
      <c r="L16" s="2" t="e">
        <f>IF(AND(LINTEL8!$Z$74="-",LINTEL8!$AB$74="-"),IF(AND(LINTEL8!$Z$75="-",LINTEL8!$AB$75="-"),IF(AND(LINTEL8!$Z$76="-",LINTEL8!$AB$76="-"),"NA","#5 @"),"#4 @"),"#3 @")</f>
        <v>#VALUE!</v>
      </c>
      <c r="M16" s="2" t="e">
        <f>IF(VLOOKUP(L16,LINTEL8!$X$74:$AB$76,3,FALSE)="-",2,1)</f>
        <v>#VALUE!</v>
      </c>
      <c r="N16" s="2" t="e">
        <f>VLOOKUP(L16,LINTEL8!$X$74:$AB$76,IF(M16=1,3,5))</f>
        <v>#VALUE!</v>
      </c>
      <c r="O16" s="2"/>
      <c r="P16" s="2"/>
      <c r="Q16" s="2"/>
      <c r="R16" s="2"/>
      <c r="S16" s="2"/>
      <c r="T16" s="2"/>
      <c r="U16" s="11"/>
      <c r="V16" s="11"/>
      <c r="W16" s="11"/>
      <c r="X16" s="11"/>
      <c r="Y16" s="11"/>
      <c r="Z16" s="11"/>
      <c r="AA16" s="11"/>
      <c r="AB16" s="11"/>
    </row>
    <row r="17" spans="1:29" ht="12.75">
      <c r="A17" s="152" t="str">
        <f>IF(MODULEINPUT!A29="","",MODULEINPUT!A29)</f>
        <v/>
      </c>
      <c r="B17" s="149" t="str">
        <f>IF(A17="","", LINTEL9!$F$6)</f>
        <v/>
      </c>
      <c r="C17" s="150" t="str">
        <f t="shared" si="0"/>
        <v/>
      </c>
      <c r="D17" s="537" t="str">
        <f>IF(A17="","",LINTEL9!$C$40)</f>
        <v/>
      </c>
      <c r="E17" s="538"/>
      <c r="F17" s="539" t="str">
        <f t="shared" si="1"/>
        <v/>
      </c>
      <c r="G17" s="540"/>
      <c r="H17" s="151" t="str">
        <f t="shared" si="2"/>
        <v/>
      </c>
      <c r="I17" s="153"/>
      <c r="J17" s="154"/>
      <c r="K17" s="2" t="e">
        <f>IF(LINTEL9!$Y$71=0,"N","Y")</f>
        <v>#VALUE!</v>
      </c>
      <c r="L17" s="2" t="e">
        <f>IF(AND(LINTEL9!$Z$74="-",LINTEL9!$AB$74="-"),IF(AND(LINTEL9!$Z$75="-",LINTEL9!$AB$75="-"),IF(AND(LINTEL9!$Z$76="-",LINTEL9!$AB$76="-"),"NA","#5 @"),"#4 @"),"#3 @")</f>
        <v>#VALUE!</v>
      </c>
      <c r="M17" s="2" t="e">
        <f>IF(VLOOKUP(L17,LINTEL9!$X$74:$AB$76,3,FALSE)="-",2,1)</f>
        <v>#VALUE!</v>
      </c>
      <c r="N17" s="2" t="e">
        <f>VLOOKUP(L17,LINTEL9!$X$74:$AB$76,IF(M17=1,3,5))</f>
        <v>#VALUE!</v>
      </c>
      <c r="O17" s="155"/>
      <c r="P17" s="155"/>
      <c r="Q17" s="155"/>
      <c r="R17" s="155"/>
      <c r="S17" s="155"/>
      <c r="T17" s="155"/>
      <c r="U17" s="11"/>
      <c r="V17" s="156"/>
      <c r="W17" s="156"/>
      <c r="X17" s="156"/>
      <c r="Y17" s="156"/>
      <c r="Z17" s="156"/>
      <c r="AA17" s="11"/>
      <c r="AB17" s="11"/>
    </row>
    <row r="18" spans="1:29" ht="12.75">
      <c r="A18" s="152" t="str">
        <f>IF(MODULEINPUT!A30="","",MODULEINPUT!A30)</f>
        <v/>
      </c>
      <c r="B18" s="149" t="str">
        <f>IF(A18="","", LINTEL10!$F$6)</f>
        <v/>
      </c>
      <c r="C18" s="150" t="str">
        <f t="shared" si="0"/>
        <v/>
      </c>
      <c r="D18" s="537" t="str">
        <f>IF(A18="","",LINTEL10!$C$40)</f>
        <v/>
      </c>
      <c r="E18" s="538"/>
      <c r="F18" s="539" t="str">
        <f t="shared" si="1"/>
        <v/>
      </c>
      <c r="G18" s="540"/>
      <c r="H18" s="151" t="str">
        <f t="shared" si="2"/>
        <v/>
      </c>
      <c r="I18" s="153"/>
      <c r="J18" s="154"/>
      <c r="K18" s="2" t="e">
        <f>IF(LINTEL10!$Y$71=0,"N","Y")</f>
        <v>#VALUE!</v>
      </c>
      <c r="L18" s="2" t="e">
        <f>IF(AND(LINTEL10!$Z$74="-",LINTEL10!$AB$74="-"),IF(AND(LINTEL10!$Z$75="-",LINTEL10!$AB$75="-"),IF(AND(LINTEL10!$Z$76="-",LINTEL10!$AB$76="-"),"NA","#5 @"),"#4 @"),"#3 @")</f>
        <v>#VALUE!</v>
      </c>
      <c r="M18" s="2" t="e">
        <f>IF(VLOOKUP(L18,LINTEL10!$X$74:$AB$76,3,FALSE)="-",2,1)</f>
        <v>#VALUE!</v>
      </c>
      <c r="N18" s="2" t="e">
        <f>VLOOKUP(L18,LINTEL10!$X$74:$AB$76,IF(M18=1,3,5))</f>
        <v>#VALUE!</v>
      </c>
      <c r="O18" s="155"/>
      <c r="P18" s="155"/>
      <c r="Q18" s="155"/>
      <c r="R18" s="155"/>
      <c r="S18" s="155"/>
      <c r="T18" s="155"/>
      <c r="U18" s="11"/>
      <c r="V18" s="11"/>
      <c r="W18" s="11"/>
      <c r="X18" s="11"/>
      <c r="Y18" s="11"/>
      <c r="Z18" s="11"/>
      <c r="AA18" s="11"/>
      <c r="AB18" s="11"/>
    </row>
    <row r="19" spans="1:29" ht="12.75">
      <c r="A19" s="157"/>
      <c r="B19" s="157"/>
      <c r="C19" s="157"/>
      <c r="D19" s="157"/>
      <c r="E19" s="158"/>
      <c r="F19" s="158"/>
      <c r="G19" s="158"/>
      <c r="H19" s="158"/>
      <c r="I19" s="158"/>
      <c r="J19" s="155"/>
      <c r="K19" s="155"/>
      <c r="L19" s="155"/>
      <c r="M19" s="155"/>
      <c r="N19" s="155"/>
      <c r="O19" s="155"/>
      <c r="P19" s="155"/>
      <c r="Q19" s="155"/>
      <c r="R19" s="155"/>
      <c r="S19" s="155"/>
      <c r="T19" s="155"/>
      <c r="U19" s="155"/>
      <c r="V19" s="2"/>
      <c r="W19" s="11"/>
      <c r="X19" s="11"/>
      <c r="Y19" s="11"/>
      <c r="Z19" s="11"/>
      <c r="AA19" s="11"/>
      <c r="AB19" s="2"/>
      <c r="AC19" s="2"/>
    </row>
    <row r="20" spans="1:29" ht="12.75">
      <c r="A20" s="159"/>
      <c r="B20" s="159"/>
      <c r="C20" s="160"/>
      <c r="D20" s="161"/>
      <c r="E20" s="3"/>
      <c r="F20" s="3"/>
      <c r="G20" s="3"/>
      <c r="H20" s="3"/>
      <c r="I20" s="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2.75">
      <c r="A21" s="159"/>
      <c r="B21" s="159"/>
      <c r="C21" s="160"/>
      <c r="D21" s="161"/>
      <c r="E21" s="3"/>
      <c r="F21" s="3"/>
      <c r="G21" s="3"/>
      <c r="H21" s="3"/>
      <c r="I21" s="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2.75">
      <c r="A22" s="159"/>
      <c r="B22" s="159"/>
      <c r="C22" s="159"/>
      <c r="D22" s="159"/>
      <c r="E22" s="159"/>
      <c r="F22" s="159"/>
      <c r="G22" s="159"/>
      <c r="H22" s="159"/>
      <c r="I22" s="15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2.75">
      <c r="A23" s="159"/>
      <c r="B23" s="159"/>
      <c r="C23" s="159"/>
      <c r="D23" s="159"/>
      <c r="E23" s="159"/>
      <c r="F23" s="159"/>
      <c r="G23" s="159"/>
      <c r="H23" s="159"/>
      <c r="I23" s="159"/>
      <c r="J23" s="148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2.75">
      <c r="A24" s="159"/>
      <c r="B24" s="159"/>
      <c r="C24" s="159"/>
      <c r="D24" s="159"/>
      <c r="E24" s="159"/>
      <c r="F24" s="159"/>
      <c r="G24" s="159"/>
      <c r="H24" s="159"/>
      <c r="I24" s="159"/>
      <c r="J24" s="148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2.75">
      <c r="A25" s="159"/>
      <c r="B25" s="159"/>
      <c r="C25" s="159"/>
      <c r="D25" s="159"/>
      <c r="E25" s="159"/>
      <c r="F25" s="159"/>
      <c r="G25" s="159"/>
      <c r="H25" s="159"/>
      <c r="I25" s="159"/>
      <c r="J25" s="148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2.75">
      <c r="A26" s="159"/>
      <c r="B26" s="159"/>
      <c r="C26" s="159"/>
      <c r="D26" s="159"/>
      <c r="E26" s="159"/>
      <c r="F26" s="159"/>
      <c r="G26" s="159"/>
      <c r="H26" s="159"/>
      <c r="I26" s="159"/>
      <c r="J26" s="148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>
      <c r="A27" s="145"/>
      <c r="B27" s="145"/>
      <c r="C27" s="145"/>
      <c r="D27" s="145"/>
      <c r="E27" s="146"/>
      <c r="F27" s="146"/>
      <c r="G27" s="146"/>
      <c r="H27" s="145"/>
      <c r="I27" s="147" t="s">
        <v>68</v>
      </c>
      <c r="J27" s="148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2.75">
      <c r="A28" s="551" t="s">
        <v>57</v>
      </c>
      <c r="B28" s="551" t="s">
        <v>69</v>
      </c>
      <c r="C28" s="551" t="s">
        <v>58</v>
      </c>
      <c r="D28" s="553" t="s">
        <v>70</v>
      </c>
      <c r="E28" s="554"/>
      <c r="F28" s="554"/>
      <c r="G28" s="555"/>
      <c r="H28" s="542" t="s">
        <v>61</v>
      </c>
      <c r="I28" s="543"/>
      <c r="J28" s="148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2.75">
      <c r="A29" s="552"/>
      <c r="B29" s="552"/>
      <c r="C29" s="552"/>
      <c r="D29" s="548" t="s">
        <v>71</v>
      </c>
      <c r="E29" s="547"/>
      <c r="F29" s="546" t="s">
        <v>72</v>
      </c>
      <c r="G29" s="547"/>
      <c r="H29" s="544"/>
      <c r="I29" s="545"/>
      <c r="J29" s="148"/>
      <c r="K29" s="2" t="s">
        <v>73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2.75">
      <c r="A30" s="151" t="str">
        <f t="shared" ref="A30:A39" si="3">H9</f>
        <v>ML1 C</v>
      </c>
      <c r="B30" s="149" t="str">
        <f>IF(A30="","",LEFT(LINTEL1!$C$7,SEARCH("""",LINTEL1!$C$7,1)-1)&amp;"x"&amp;LINTEL1!$F$11)</f>
        <v>8x24</v>
      </c>
      <c r="C30" s="150" t="str">
        <f>IF(A30="","",K30&amp;LINTEL1!$H$39)</f>
        <v>TYPE C3</v>
      </c>
      <c r="D30" s="537" t="str">
        <f>IF(A30="","", LINTEL1!$H$40)</f>
        <v>(4) #5</v>
      </c>
      <c r="E30" s="538"/>
      <c r="F30" s="549" t="str">
        <f t="shared" ref="F30:F39" si="4">IF(A30="","","--")</f>
        <v>--</v>
      </c>
      <c r="G30" s="538"/>
      <c r="H30" s="550"/>
      <c r="I30" s="538"/>
      <c r="J30" s="148"/>
      <c r="K30" s="2" t="str">
        <f>IF(MODULEINPUT!L21=1,IF(MODULEINPUT!K35=1,"TYPE A","TYPE C"),IF(MODULEINPUT!K35=1,"TYPE B","TYPE D"))</f>
        <v>TYPE C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2.75">
      <c r="A31" s="151" t="str">
        <f t="shared" si="3"/>
        <v>ML2 C</v>
      </c>
      <c r="B31" s="149" t="str">
        <f>IF(A31="","",LEFT(LINTEL2!$C$7,SEARCH("""",LINTEL2!$C$7,1)-1)&amp;"x"&amp;LINTEL2!$F$11)</f>
        <v>8x24</v>
      </c>
      <c r="C31" s="150" t="str">
        <f>IF(A31="","",K31&amp;LINTEL2!$H$39)</f>
        <v>TYPE C3</v>
      </c>
      <c r="D31" s="537" t="str">
        <f>IF(A31="","", LINTEL2!$H$40)</f>
        <v>(4) #5</v>
      </c>
      <c r="E31" s="538"/>
      <c r="F31" s="539" t="str">
        <f t="shared" si="4"/>
        <v>--</v>
      </c>
      <c r="G31" s="540"/>
      <c r="H31" s="541"/>
      <c r="I31" s="540"/>
      <c r="J31" s="148"/>
      <c r="K31" s="2" t="str">
        <f>IF(MODULEINPUT!L22=1,IF(MODULEINPUT!K36=1,"TYPE A","TYPE C"),IF(MODULEINPUT!K36=1,"TYPE B","TYPE D"))</f>
        <v>TYPE C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2.75">
      <c r="A32" s="151" t="str">
        <f t="shared" si="3"/>
        <v/>
      </c>
      <c r="B32" s="149" t="str">
        <f>IF(A32="","",LEFT(LINTEL3!$C$7,SEARCH("""",LINTEL3!$C$7,1)-1)&amp;"x"&amp;LINTEL3!$F$11)</f>
        <v/>
      </c>
      <c r="C32" s="150" t="str">
        <f>IF(A32="","",K32&amp;LINTEL3!$H$39)</f>
        <v/>
      </c>
      <c r="D32" s="537" t="str">
        <f>IF(A32="","", LINTEL3!$H$40)</f>
        <v/>
      </c>
      <c r="E32" s="538"/>
      <c r="F32" s="539" t="str">
        <f t="shared" si="4"/>
        <v/>
      </c>
      <c r="G32" s="540"/>
      <c r="H32" s="541"/>
      <c r="I32" s="540"/>
      <c r="J32" s="148"/>
      <c r="K32" s="2" t="str">
        <f>IF(MODULEINPUT!L23=1,IF(MODULEINPUT!K37=1,"TYPE A","TYPE C"),IF(MODULEINPUT!K37=1,"TYPE B","TYPE D"))</f>
        <v>TYPE A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2.75">
      <c r="A33" s="151" t="str">
        <f t="shared" si="3"/>
        <v/>
      </c>
      <c r="B33" s="149" t="str">
        <f>IF(A33="","",LEFT(LINTEL4!$C$7,SEARCH("""",LINTEL4!$C$7,1)-1)&amp;"x"&amp;LINTEL4!$F$11)</f>
        <v/>
      </c>
      <c r="C33" s="150" t="str">
        <f>IF(A33="","",K33&amp;LINTEL4!$H$39)</f>
        <v/>
      </c>
      <c r="D33" s="537" t="str">
        <f>IF(A33="","", LINTEL4!$H$40)</f>
        <v/>
      </c>
      <c r="E33" s="538"/>
      <c r="F33" s="539" t="str">
        <f t="shared" si="4"/>
        <v/>
      </c>
      <c r="G33" s="540"/>
      <c r="H33" s="541"/>
      <c r="I33" s="540"/>
      <c r="J33" s="137"/>
      <c r="K33" s="2" t="str">
        <f>IF(MODULEINPUT!L24=1,IF(MODULEINPUT!K38=1,"TYPE A","TYPE C"),IF(MODULEINPUT!K38=1,"TYPE B","TYPE D"))</f>
        <v>TYPE D</v>
      </c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</row>
    <row r="34" spans="1:29" ht="12.75">
      <c r="A34" s="151" t="str">
        <f t="shared" si="3"/>
        <v/>
      </c>
      <c r="B34" s="149" t="str">
        <f>IF(A34="","",LEFT(LINTEL5!$C$7,SEARCH("""",LINTEL5!$C$7,1)-1)&amp;"x"&amp;LINTEL5!$F$11)</f>
        <v/>
      </c>
      <c r="C34" s="150" t="str">
        <f>IF(A34="","",K34&amp;LINTEL5!$H$39)</f>
        <v/>
      </c>
      <c r="D34" s="537" t="str">
        <f>IF(A34="","", LINTEL5!$H$40)</f>
        <v/>
      </c>
      <c r="E34" s="538"/>
      <c r="F34" s="539" t="str">
        <f t="shared" si="4"/>
        <v/>
      </c>
      <c r="G34" s="540"/>
      <c r="H34" s="541"/>
      <c r="I34" s="540"/>
      <c r="J34" s="137"/>
      <c r="K34" s="2" t="str">
        <f>IF(MODULEINPUT!L25=1,IF(MODULEINPUT!K39=1,"TYPE A","TYPE C"),IF(MODULEINPUT!K39=1,"TYPE B","TYPE D"))</f>
        <v>TYPE D</v>
      </c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</row>
    <row r="35" spans="1:29" ht="12.75">
      <c r="A35" s="151" t="str">
        <f t="shared" si="3"/>
        <v/>
      </c>
      <c r="B35" s="149" t="str">
        <f>IF(A35="","",LEFT(LINTEL6!$C$7,SEARCH("""",LINTEL6!$C$7,1)-1)&amp;"x"&amp;LINTEL6!$F$11)</f>
        <v/>
      </c>
      <c r="C35" s="150" t="str">
        <f>IF(A35="","",K35&amp;LINTEL6!$H$39)</f>
        <v/>
      </c>
      <c r="D35" s="537" t="str">
        <f>IF(A35="","", LINTEL6!$H$40)</f>
        <v/>
      </c>
      <c r="E35" s="538"/>
      <c r="F35" s="539" t="str">
        <f t="shared" si="4"/>
        <v/>
      </c>
      <c r="G35" s="540"/>
      <c r="H35" s="541"/>
      <c r="I35" s="540"/>
      <c r="J35" s="137"/>
      <c r="K35" s="2" t="str">
        <f>IF(MODULEINPUT!L26=1,IF(MODULEINPUT!K40=1,"TYPE A","TYPE C"),IF(MODULEINPUT!K40=1,"TYPE B","TYPE D"))</f>
        <v>TYPE D</v>
      </c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  <c r="AC35" s="137"/>
    </row>
    <row r="36" spans="1:29" ht="12.75">
      <c r="A36" s="151" t="str">
        <f t="shared" si="3"/>
        <v/>
      </c>
      <c r="B36" s="149" t="str">
        <f>IF(A36="","",LEFT(LINTEL7!$C$7,SEARCH("""",LINTEL7!$C$7,1)-1)&amp;"x"&amp;LINTEL7!$F$11)</f>
        <v/>
      </c>
      <c r="C36" s="150" t="str">
        <f>IF(A36="","",K36&amp;LINTEL7!$H$39)</f>
        <v/>
      </c>
      <c r="D36" s="537" t="str">
        <f>IF(A36="","", LINTEL7!$H$40)</f>
        <v/>
      </c>
      <c r="E36" s="538"/>
      <c r="F36" s="539" t="str">
        <f t="shared" si="4"/>
        <v/>
      </c>
      <c r="G36" s="540"/>
      <c r="H36" s="541"/>
      <c r="I36" s="540"/>
      <c r="J36" s="137"/>
      <c r="K36" s="2" t="str">
        <f>IF(MODULEINPUT!L27=1,IF(MODULEINPUT!K41=1,"TYPE A","TYPE C"),IF(MODULEINPUT!K41=1,"TYPE B","TYPE D"))</f>
        <v>TYPE D</v>
      </c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</row>
    <row r="37" spans="1:29" ht="12.75">
      <c r="A37" s="151" t="str">
        <f t="shared" si="3"/>
        <v/>
      </c>
      <c r="B37" s="149" t="str">
        <f>IF(A37="","",LEFT(LINTEL8!$C$7,SEARCH("""",LINTEL8!$C$7,1)-1)&amp;"x"&amp;LINTEL8!$F$11)</f>
        <v/>
      </c>
      <c r="C37" s="150" t="str">
        <f>IF(A37="","",K37&amp;LINTEL8!$H$39)</f>
        <v/>
      </c>
      <c r="D37" s="537" t="str">
        <f>IF(A37="","", LINTEL8!$H$40)</f>
        <v/>
      </c>
      <c r="E37" s="538"/>
      <c r="F37" s="539" t="str">
        <f t="shared" si="4"/>
        <v/>
      </c>
      <c r="G37" s="540"/>
      <c r="H37" s="541"/>
      <c r="I37" s="540"/>
      <c r="J37" s="137"/>
      <c r="K37" s="2" t="str">
        <f>IF(MODULEINPUT!L28=1,IF(MODULEINPUT!K42=1,"TYPE A","TYPE C"),IF(MODULEINPUT!K42=1,"TYPE B","TYPE D"))</f>
        <v>TYPE D</v>
      </c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62"/>
      <c r="W37" s="162"/>
      <c r="X37" s="162"/>
      <c r="Y37" s="162"/>
      <c r="Z37" s="162"/>
      <c r="AA37" s="162"/>
      <c r="AB37" s="162"/>
      <c r="AC37" s="162"/>
    </row>
    <row r="38" spans="1:29" ht="12.75">
      <c r="A38" s="151" t="str">
        <f t="shared" si="3"/>
        <v/>
      </c>
      <c r="B38" s="149" t="str">
        <f>IF(A38="","",LEFT(LINTEL9!$C$7,SEARCH("""",LINTEL9!$C$7,1)-1)&amp;"x"&amp;LINTEL9!$F$11)</f>
        <v/>
      </c>
      <c r="C38" s="150" t="str">
        <f>IF(A38="","",K38&amp;LINTEL9!$H$39)</f>
        <v/>
      </c>
      <c r="D38" s="537" t="str">
        <f>IF(A38="","", LINTEL9!$H$40)</f>
        <v/>
      </c>
      <c r="E38" s="538"/>
      <c r="F38" s="539" t="str">
        <f t="shared" si="4"/>
        <v/>
      </c>
      <c r="G38" s="540"/>
      <c r="H38" s="541"/>
      <c r="I38" s="540"/>
      <c r="J38" s="137"/>
      <c r="K38" s="2" t="str">
        <f>IF(MODULEINPUT!L29=1,IF(MODULEINPUT!K43=1,"TYPE A","TYPE C"),IF(MODULEINPUT!K43=1,"TYPE B","TYPE D"))</f>
        <v>TYPE D</v>
      </c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62"/>
      <c r="W38" s="162"/>
      <c r="X38" s="162"/>
      <c r="Y38" s="162"/>
      <c r="Z38" s="162"/>
      <c r="AA38" s="162"/>
      <c r="AB38" s="162"/>
      <c r="AC38" s="162"/>
    </row>
    <row r="39" spans="1:29" ht="12.75">
      <c r="A39" s="151" t="str">
        <f t="shared" si="3"/>
        <v/>
      </c>
      <c r="B39" s="149" t="str">
        <f>IF(A39="","",LEFT(LINTEL10!$C$7,SEARCH("""",LINTEL10!$C$7,1)-1)&amp;"x"&amp;LINTEL10!$F$11)</f>
        <v/>
      </c>
      <c r="C39" s="150" t="str">
        <f>IF(A39="","",K39&amp;LINTEL10!$H$39)</f>
        <v/>
      </c>
      <c r="D39" s="537" t="str">
        <f>IF(A39="","", LINTEL10!$H$40)</f>
        <v/>
      </c>
      <c r="E39" s="538"/>
      <c r="F39" s="539" t="str">
        <f t="shared" si="4"/>
        <v/>
      </c>
      <c r="G39" s="540"/>
      <c r="H39" s="541"/>
      <c r="I39" s="540"/>
      <c r="J39" s="137"/>
      <c r="K39" s="2" t="str">
        <f>IF(MODULEINPUT!L30=1,IF(MODULEINPUT!K44=1,"TYPE A","TYPE C"),IF(MODULEINPUT!K44=1,"TYPE B","TYPE D"))</f>
        <v>TYPE D</v>
      </c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62"/>
      <c r="W39" s="162"/>
      <c r="X39" s="162"/>
      <c r="Y39" s="162"/>
      <c r="Z39" s="162"/>
      <c r="AA39" s="162"/>
      <c r="AB39" s="162"/>
      <c r="AC39" s="162"/>
    </row>
    <row r="40" spans="1:29" ht="12.75">
      <c r="A40" s="159"/>
      <c r="B40" s="159"/>
      <c r="C40" s="159"/>
      <c r="D40" s="163"/>
      <c r="E40" s="163"/>
      <c r="F40" s="163"/>
      <c r="G40" s="163"/>
      <c r="H40" s="159"/>
      <c r="I40" s="159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62"/>
      <c r="W40" s="162"/>
      <c r="X40" s="162"/>
      <c r="Y40" s="162"/>
      <c r="Z40" s="162"/>
      <c r="AA40" s="162"/>
      <c r="AB40" s="162"/>
      <c r="AC40" s="162"/>
    </row>
    <row r="41" spans="1:29" ht="12.75">
      <c r="A41" s="159"/>
      <c r="B41" s="159"/>
      <c r="C41" s="159"/>
      <c r="D41" s="159"/>
      <c r="E41" s="159"/>
      <c r="F41" s="159"/>
      <c r="G41" s="159"/>
      <c r="H41" s="159"/>
      <c r="I41" s="159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62"/>
      <c r="W41" s="162"/>
      <c r="X41" s="162"/>
      <c r="Y41" s="162"/>
      <c r="Z41" s="162"/>
      <c r="AA41" s="162"/>
      <c r="AB41" s="162"/>
      <c r="AC41" s="162"/>
    </row>
    <row r="42" spans="1:29" ht="12.75">
      <c r="A42" s="159"/>
      <c r="B42" s="159"/>
      <c r="C42" s="159"/>
      <c r="D42" s="159"/>
      <c r="E42" s="159"/>
      <c r="F42" s="159"/>
      <c r="G42" s="159"/>
      <c r="H42" s="159"/>
      <c r="I42" s="159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62"/>
      <c r="W42" s="162"/>
      <c r="X42" s="162"/>
      <c r="Y42" s="162"/>
      <c r="Z42" s="162"/>
      <c r="AA42" s="162"/>
      <c r="AB42" s="162"/>
      <c r="AC42" s="162"/>
    </row>
    <row r="43" spans="1:29" ht="12.75">
      <c r="A43" s="159"/>
      <c r="B43" s="159"/>
      <c r="C43" s="159"/>
      <c r="D43" s="159"/>
      <c r="E43" s="159"/>
      <c r="G43" s="159"/>
      <c r="H43" s="159"/>
      <c r="I43" s="159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62"/>
      <c r="W43" s="162"/>
      <c r="X43" s="162"/>
      <c r="Y43" s="162"/>
      <c r="Z43" s="162"/>
      <c r="AA43" s="162"/>
      <c r="AB43" s="162"/>
      <c r="AC43" s="162"/>
    </row>
    <row r="44" spans="1:29" ht="12.75">
      <c r="A44" s="159"/>
      <c r="B44" s="159"/>
      <c r="C44" s="159"/>
      <c r="D44" s="159"/>
      <c r="E44" s="159"/>
      <c r="F44" s="159"/>
      <c r="G44" s="159"/>
      <c r="H44" s="159"/>
      <c r="I44" s="159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62"/>
      <c r="W44" s="162"/>
      <c r="X44" s="162"/>
      <c r="Y44" s="162"/>
      <c r="Z44" s="162"/>
      <c r="AA44" s="162"/>
      <c r="AB44" s="162"/>
      <c r="AC44" s="162"/>
    </row>
    <row r="45" spans="1:29" ht="12.75">
      <c r="A45" s="159"/>
      <c r="B45" s="159"/>
      <c r="C45" s="159"/>
      <c r="D45" s="159"/>
      <c r="E45" s="159"/>
      <c r="F45" s="159"/>
      <c r="G45" s="159"/>
      <c r="H45" s="159"/>
      <c r="I45" s="159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62"/>
      <c r="W45" s="162"/>
      <c r="X45" s="162"/>
      <c r="Y45" s="162"/>
      <c r="Z45" s="162"/>
      <c r="AA45" s="162"/>
      <c r="AB45" s="162"/>
      <c r="AC45" s="162"/>
    </row>
    <row r="46" spans="1:29" ht="11.25" customHeight="1">
      <c r="A46" s="10"/>
      <c r="B46" s="2"/>
      <c r="C46" s="2"/>
      <c r="D46" s="11"/>
      <c r="E46" s="3"/>
      <c r="F46" s="3"/>
      <c r="G46" s="3"/>
      <c r="H46" s="10"/>
      <c r="I46" s="3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5"/>
      <c r="W46" s="165"/>
      <c r="X46" s="165"/>
      <c r="Y46" s="165"/>
      <c r="Z46" s="165"/>
      <c r="AA46" s="165"/>
      <c r="AB46" s="165"/>
      <c r="AC46" s="165"/>
    </row>
    <row r="47" spans="1:29" ht="7.5" customHeight="1">
      <c r="A47" s="166"/>
      <c r="B47" s="167"/>
      <c r="C47" s="167"/>
      <c r="D47" s="168"/>
      <c r="E47" s="168"/>
      <c r="F47" s="168"/>
      <c r="G47" s="169"/>
      <c r="H47" s="10"/>
      <c r="I47" s="170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5"/>
      <c r="W47" s="165"/>
      <c r="X47" s="165"/>
      <c r="Y47" s="165"/>
      <c r="Z47" s="165"/>
      <c r="AA47" s="165"/>
      <c r="AB47" s="165"/>
      <c r="AC47" s="165"/>
    </row>
  </sheetData>
  <mergeCells count="66">
    <mergeCell ref="H36:I36"/>
    <mergeCell ref="D37:E37"/>
    <mergeCell ref="F34:G34"/>
    <mergeCell ref="H34:I34"/>
    <mergeCell ref="D32:E32"/>
    <mergeCell ref="F32:G32"/>
    <mergeCell ref="H32:I32"/>
    <mergeCell ref="D33:E33"/>
    <mergeCell ref="F33:G33"/>
    <mergeCell ref="H33:I33"/>
    <mergeCell ref="D34:E34"/>
    <mergeCell ref="A3:E3"/>
    <mergeCell ref="A7:A8"/>
    <mergeCell ref="B7:B8"/>
    <mergeCell ref="C7:C8"/>
    <mergeCell ref="D7:G7"/>
    <mergeCell ref="H7:H8"/>
    <mergeCell ref="I7:I8"/>
    <mergeCell ref="F12:G12"/>
    <mergeCell ref="F13:G13"/>
    <mergeCell ref="F14:G14"/>
    <mergeCell ref="F15:G15"/>
    <mergeCell ref="F16:G16"/>
    <mergeCell ref="F17:G17"/>
    <mergeCell ref="F18:G18"/>
    <mergeCell ref="D8:E8"/>
    <mergeCell ref="F8:G8"/>
    <mergeCell ref="D9:E9"/>
    <mergeCell ref="F9:G9"/>
    <mergeCell ref="D10:E10"/>
    <mergeCell ref="F10:G10"/>
    <mergeCell ref="F11:G11"/>
    <mergeCell ref="D11:E11"/>
    <mergeCell ref="D12:E12"/>
    <mergeCell ref="D13:E13"/>
    <mergeCell ref="D14:E14"/>
    <mergeCell ref="D15:E15"/>
    <mergeCell ref="D16:E16"/>
    <mergeCell ref="D17:E17"/>
    <mergeCell ref="D18:E18"/>
    <mergeCell ref="A28:A29"/>
    <mergeCell ref="B28:B29"/>
    <mergeCell ref="C28:C29"/>
    <mergeCell ref="D28:G28"/>
    <mergeCell ref="H28:I29"/>
    <mergeCell ref="F29:G29"/>
    <mergeCell ref="D29:E29"/>
    <mergeCell ref="D30:E30"/>
    <mergeCell ref="F30:G30"/>
    <mergeCell ref="H30:I30"/>
    <mergeCell ref="D39:E39"/>
    <mergeCell ref="F39:G39"/>
    <mergeCell ref="H39:I39"/>
    <mergeCell ref="D31:E31"/>
    <mergeCell ref="F31:G31"/>
    <mergeCell ref="H31:I31"/>
    <mergeCell ref="D38:E38"/>
    <mergeCell ref="F38:G38"/>
    <mergeCell ref="H38:I38"/>
    <mergeCell ref="F37:G37"/>
    <mergeCell ref="H37:I37"/>
    <mergeCell ref="D35:E35"/>
    <mergeCell ref="F35:G35"/>
    <mergeCell ref="H35:I35"/>
    <mergeCell ref="D36:E36"/>
    <mergeCell ref="F36:G36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V159"/>
  <sheetViews>
    <sheetView topLeftCell="A17" zoomScaleNormal="100" workbookViewId="0">
      <selection activeCell="AX7" sqref="AX7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</row>
    <row r="2" spans="1:48" ht="15.75" customHeight="1">
      <c r="A2" s="572" t="str">
        <f>MODULEINPUT!$A$3&amp; ": LINTEL DESIGN FOR "&amp;MODULEINPUT!A21</f>
        <v>CREECH DRP PH2 - LEVEL 2 OPENING: LINTEL DESIGN FOR ML1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LINTEL1!$F6</f>
        <v>24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</row>
    <row r="4" spans="1:48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LINTEL1!$C6</f>
        <v>17.666</v>
      </c>
      <c r="N4" s="185" t="s">
        <v>87</v>
      </c>
      <c r="O4" s="185"/>
      <c r="P4" s="186" t="s">
        <v>88</v>
      </c>
      <c r="Q4" s="194">
        <f>LINTEL1!$F7</f>
        <v>2</v>
      </c>
      <c r="R4" s="185"/>
      <c r="S4" s="185"/>
      <c r="T4" s="186" t="s">
        <v>89</v>
      </c>
      <c r="U4" s="195">
        <f>LINTEL1!$I6</f>
        <v>300</v>
      </c>
      <c r="V4" s="185" t="s">
        <v>90</v>
      </c>
      <c r="W4" s="188"/>
      <c r="X4" s="196" t="str">
        <f>LINTEL1!$C7</f>
        <v>8" CMU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>
        <f>Z9</f>
        <v>7.625</v>
      </c>
      <c r="N5" s="185" t="s">
        <v>82</v>
      </c>
      <c r="O5" s="185"/>
      <c r="P5" s="186" t="s">
        <v>96</v>
      </c>
      <c r="Q5" s="202">
        <f>LINTEL1!$F8</f>
        <v>5</v>
      </c>
      <c r="R5" s="185"/>
      <c r="S5" s="185"/>
      <c r="T5" s="203" t="s">
        <v>97</v>
      </c>
      <c r="U5" s="195">
        <f>LINTEL1!$I7</f>
        <v>0</v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86</v>
      </c>
      <c r="C6" s="208">
        <f>MODULEINPUT!C21</f>
        <v>17.666</v>
      </c>
      <c r="D6" s="19"/>
      <c r="E6" s="17" t="s">
        <v>81</v>
      </c>
      <c r="F6" s="209">
        <f>MODULEINPUT!F35</f>
        <v>24</v>
      </c>
      <c r="G6" s="573" t="str">
        <f>IF(AJ19="FAIL","As &gt; As,max " &amp; AK19,"")</f>
        <v/>
      </c>
      <c r="H6" s="17" t="s">
        <v>89</v>
      </c>
      <c r="I6" s="210">
        <f>MODULEINPUT!H21</f>
        <v>300</v>
      </c>
      <c r="J6" s="18"/>
      <c r="K6" s="185"/>
      <c r="L6" s="186" t="s">
        <v>102</v>
      </c>
      <c r="M6" s="193">
        <f>LINTEL1!$C8</f>
        <v>14</v>
      </c>
      <c r="N6" s="185" t="s">
        <v>87</v>
      </c>
      <c r="O6" s="185"/>
      <c r="P6" s="211" t="s">
        <v>103</v>
      </c>
      <c r="Q6" s="212">
        <f>F9</f>
        <v>1</v>
      </c>
      <c r="R6" s="175"/>
      <c r="S6" s="185"/>
      <c r="T6" s="203" t="s">
        <v>104</v>
      </c>
      <c r="U6" s="195">
        <f>LINTEL1!$I8</f>
        <v>710.40000000000009</v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3.3333333333333335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105</v>
      </c>
      <c r="C7" s="214" t="str">
        <f>MODULEINPUT!D21</f>
        <v>8" CMU</v>
      </c>
      <c r="D7" s="19"/>
      <c r="E7" s="17" t="s">
        <v>88</v>
      </c>
      <c r="F7" s="215">
        <f>MODULEINPUT!G35*F9</f>
        <v>2</v>
      </c>
      <c r="G7" s="574"/>
      <c r="H7" s="17" t="s">
        <v>97</v>
      </c>
      <c r="I7" s="216">
        <f>MODULEINPUT!I21</f>
        <v>0</v>
      </c>
      <c r="J7" s="18"/>
      <c r="K7" s="185"/>
      <c r="L7" s="186" t="s">
        <v>106</v>
      </c>
      <c r="M7" s="193">
        <f>LINTEL1!$C9</f>
        <v>12</v>
      </c>
      <c r="N7" s="185" t="s">
        <v>87</v>
      </c>
      <c r="O7" s="185"/>
      <c r="P7" s="186" t="s">
        <v>107</v>
      </c>
      <c r="Q7" s="217">
        <f>LINTEL1!$F11</f>
        <v>24</v>
      </c>
      <c r="R7" s="185" t="s">
        <v>82</v>
      </c>
      <c r="S7" s="185"/>
      <c r="T7" s="203" t="s">
        <v>108</v>
      </c>
      <c r="U7" s="218">
        <f>LINTEL1!$I9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3.3333333333333335</v>
      </c>
      <c r="AS7" s="213">
        <f>AS6+M6</f>
        <v>15</v>
      </c>
      <c r="AT7" s="207"/>
      <c r="AU7" s="207"/>
      <c r="AV7" s="185"/>
    </row>
    <row r="8" spans="1:48" ht="15.75" customHeight="1">
      <c r="A8" s="17"/>
      <c r="B8" s="17" t="s">
        <v>102</v>
      </c>
      <c r="C8" s="219">
        <f>MODULEINPUT!C35</f>
        <v>14</v>
      </c>
      <c r="D8" s="19"/>
      <c r="E8" s="17" t="s">
        <v>96</v>
      </c>
      <c r="F8" s="220">
        <f>MODULEINPUT!E35</f>
        <v>5</v>
      </c>
      <c r="G8" s="575"/>
      <c r="H8" s="17" t="s">
        <v>104</v>
      </c>
      <c r="I8" s="216">
        <f>MODULEINPUT!J21</f>
        <v>710.40000000000009</v>
      </c>
      <c r="J8" s="18"/>
      <c r="K8" s="185"/>
      <c r="L8" s="186" t="s">
        <v>110</v>
      </c>
      <c r="M8" s="193">
        <f>LINTEL1!$C10-0.0000001</f>
        <v>17.665999899999999</v>
      </c>
      <c r="N8" s="185" t="s">
        <v>87</v>
      </c>
      <c r="O8" s="185"/>
      <c r="P8" s="186" t="s">
        <v>111</v>
      </c>
      <c r="Q8" s="217">
        <f>LINTEL1!$F12</f>
        <v>5.3125</v>
      </c>
      <c r="R8" s="185" t="s">
        <v>82</v>
      </c>
      <c r="S8" s="185"/>
      <c r="T8" s="203" t="s">
        <v>112</v>
      </c>
      <c r="U8" s="218">
        <f ca="1">LINTEL1!$I10</f>
        <v>32.673999999999999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15.333333333333334</v>
      </c>
      <c r="AS8" s="213">
        <f>AS7</f>
        <v>15</v>
      </c>
      <c r="AT8" s="207"/>
      <c r="AU8" s="207"/>
      <c r="AV8" s="185"/>
    </row>
    <row r="9" spans="1:48" ht="15.75" customHeight="1">
      <c r="A9" s="17"/>
      <c r="B9" s="17" t="s">
        <v>106</v>
      </c>
      <c r="C9" s="219">
        <f>MODULEINPUT!D35</f>
        <v>12</v>
      </c>
      <c r="D9" s="19"/>
      <c r="E9" s="17" t="s">
        <v>103</v>
      </c>
      <c r="F9" s="221">
        <f>MODULEINPUT!H35</f>
        <v>1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>
        <f>Z20</f>
        <v>8</v>
      </c>
      <c r="N9" s="185" t="s">
        <v>115</v>
      </c>
      <c r="O9" s="185"/>
      <c r="P9" s="186" t="s">
        <v>116</v>
      </c>
      <c r="Q9" s="194">
        <f>LINTEL1!$F13</f>
        <v>2</v>
      </c>
      <c r="R9" s="185"/>
      <c r="S9" s="185"/>
      <c r="T9" s="203" t="s">
        <v>13</v>
      </c>
      <c r="U9" s="185" t="b">
        <f>IF(LINTEL1!$I11="y",TRUE,FALSE)</f>
        <v>1</v>
      </c>
      <c r="V9" s="185"/>
      <c r="W9" s="188"/>
      <c r="X9" s="224" t="s">
        <v>117</v>
      </c>
      <c r="Y9" s="225" t="str">
        <f>VLOOKUP(X4,X5:Z8,2,FALSE)</f>
        <v>8" CMU</v>
      </c>
      <c r="Z9" s="225">
        <f>VLOOKUP(X4,X5:Z8,3,FALSE)</f>
        <v>7.625</v>
      </c>
      <c r="AA9" s="225">
        <f>VLOOKUP(X4,X5:AA8,4,FALSE)</f>
        <v>84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15.333333333333334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110</v>
      </c>
      <c r="C10" s="219">
        <f>MODULEINPUT!E21</f>
        <v>17.666</v>
      </c>
      <c r="D10" s="19"/>
      <c r="E10" s="19"/>
      <c r="F10" s="40"/>
      <c r="G10" s="19"/>
      <c r="H10" s="17" t="s">
        <v>112</v>
      </c>
      <c r="I10" s="222">
        <f ca="1">M22</f>
        <v>32.673999999999999</v>
      </c>
      <c r="J10" s="18"/>
      <c r="K10" s="185"/>
      <c r="L10" s="186" t="s">
        <v>118</v>
      </c>
      <c r="M10" s="226">
        <f>LINTEL1!$C12</f>
        <v>2000</v>
      </c>
      <c r="N10" s="185" t="s">
        <v>119</v>
      </c>
      <c r="O10" s="185"/>
      <c r="P10" s="186" t="s">
        <v>96</v>
      </c>
      <c r="Q10" s="202">
        <f>LINTEL1!$F14</f>
        <v>5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17.666666666666668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122</v>
      </c>
      <c r="C11" s="228" t="str">
        <f>MODULEINPUT!B35</f>
        <v>Solid</v>
      </c>
      <c r="D11" s="19"/>
      <c r="E11" s="17" t="s">
        <v>107</v>
      </c>
      <c r="F11" s="209">
        <f>MODULEINPUT!J35</f>
        <v>24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MODULEINPUT!K35</f>
        <v>2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str">
        <f ca="1">IF(AND(AJ27="pass",AJ26="pass",AJ25="pass",AJ24="pass",AJ19="pass",AJ18="pass",AJ17="pass",AJ16="pass",AJ15="pass",AJ20="pass")=TRUE,"OK","FAILS")</f>
        <v>OK</v>
      </c>
      <c r="AN11" s="184"/>
      <c r="AO11" s="191"/>
      <c r="AP11" s="188"/>
      <c r="AQ11" s="200">
        <v>7</v>
      </c>
      <c r="AR11" s="213">
        <f>AR10</f>
        <v>17.666666666666668</v>
      </c>
      <c r="AS11" s="213">
        <f>AS5+M4</f>
        <v>18.666</v>
      </c>
      <c r="AT11" s="207"/>
      <c r="AU11" s="207"/>
      <c r="AV11" s="185"/>
    </row>
    <row r="12" spans="1:48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>
        <f>IF(MODULEINPUT!K35=1,M5/2,M5-2-F14/16)</f>
        <v>5.3125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 t="str">
        <f>LINTEL1!$C11</f>
        <v>Solid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18.666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116</v>
      </c>
      <c r="F13" s="215">
        <f>MODULEINPUT!K35</f>
        <v>2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96</v>
      </c>
      <c r="F14" s="220">
        <f>MODULEINPUT!I35</f>
        <v>5</v>
      </c>
      <c r="G14" s="19"/>
      <c r="H14" s="19"/>
      <c r="I14" s="19"/>
      <c r="J14" s="18"/>
      <c r="K14" s="185"/>
      <c r="L14" s="175"/>
      <c r="M14" s="186" t="s">
        <v>131</v>
      </c>
      <c r="N14" s="246">
        <f>M4*12/M5</f>
        <v>27.802229508196724</v>
      </c>
      <c r="O14" s="185" t="s">
        <v>132</v>
      </c>
      <c r="P14" s="185"/>
      <c r="Q14" s="185"/>
      <c r="R14" s="211" t="s">
        <v>133</v>
      </c>
      <c r="S14" s="247">
        <f>(M9/2-4+Q7)/12</f>
        <v>2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>
        <f>AC21</f>
        <v>84</v>
      </c>
      <c r="O15" s="185" t="s">
        <v>109</v>
      </c>
      <c r="P15" s="185"/>
      <c r="Q15" s="185"/>
      <c r="R15" s="211" t="s">
        <v>141</v>
      </c>
      <c r="S15" s="247">
        <f>M7/2</f>
        <v>6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>
        <f>LINTEL1!$B23</f>
        <v>45.721233599999998</v>
      </c>
      <c r="AH15" s="254" t="s">
        <v>143</v>
      </c>
      <c r="AI15" s="253">
        <f>LINTEL1!$D23</f>
        <v>54.448593750000001</v>
      </c>
      <c r="AJ15" s="255" t="str">
        <f>AB86</f>
        <v>PASS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>
        <f>AA9</f>
        <v>84</v>
      </c>
      <c r="O16" s="185" t="s">
        <v>109</v>
      </c>
      <c r="P16" s="185"/>
      <c r="Q16" s="185"/>
      <c r="R16" s="186" t="s">
        <v>147</v>
      </c>
      <c r="S16" s="246">
        <f>N18+N17*S15+U4*S15</f>
        <v>6615.5519999999997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>
        <f>LINTEL1!$B24</f>
        <v>13.0632096</v>
      </c>
      <c r="AH16" s="254" t="s">
        <v>151</v>
      </c>
      <c r="AI16" s="260">
        <f>LINTEL1!$D24</f>
        <v>14.731215835768616</v>
      </c>
      <c r="AJ16" s="255" t="str">
        <f>AB79</f>
        <v>PASS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</row>
    <row r="17" spans="1:48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>
        <f>(M4-M6-Q3/12)*N15+Q3/12*N16</f>
        <v>307.94400000000002</v>
      </c>
      <c r="O17" s="185" t="s">
        <v>90</v>
      </c>
      <c r="P17" s="185"/>
      <c r="Q17" s="185"/>
      <c r="R17" s="186" t="s">
        <v>154</v>
      </c>
      <c r="S17" s="185">
        <f>U5*S15</f>
        <v>0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>
        <f>1.3*Y91/1000</f>
        <v>15.86</v>
      </c>
      <c r="AH17" s="254" t="s">
        <v>157</v>
      </c>
      <c r="AI17" s="260">
        <f>AI15/0.9</f>
        <v>60.498437500000001</v>
      </c>
      <c r="AJ17" s="255" t="str">
        <f t="shared" ref="AJ17:AK17" si="1">AB91</f>
        <v>PASS</v>
      </c>
      <c r="AK17" s="256" t="str">
        <f t="shared" si="1"/>
        <v>---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18.665999899999999</v>
      </c>
      <c r="AT17" s="207"/>
      <c r="AU17" s="207"/>
      <c r="AV17" s="185"/>
    </row>
    <row r="18" spans="1:48" ht="15.75" customHeight="1">
      <c r="A18" s="19"/>
      <c r="B18" s="17" t="s">
        <v>158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>
        <f>AA9*Q7/12*M4</f>
        <v>2967.8879999999999</v>
      </c>
      <c r="O18" s="185" t="s">
        <v>148</v>
      </c>
      <c r="P18" s="185"/>
      <c r="Q18" s="185"/>
      <c r="R18" s="186" t="s">
        <v>160</v>
      </c>
      <c r="S18" s="185">
        <f>U6*(S15+Q7/12)</f>
        <v>5683.2000000000007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>
        <f>Y106</f>
        <v>0.11655435122192666</v>
      </c>
      <c r="AH18" s="269" t="s">
        <v>163</v>
      </c>
      <c r="AI18" s="268">
        <f>Y105</f>
        <v>0.24</v>
      </c>
      <c r="AJ18" s="255" t="str">
        <f>AB106</f>
        <v>PASS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>
        <f>AR11</f>
        <v>17.666666666666668</v>
      </c>
      <c r="AS18" s="213">
        <f>AS17</f>
        <v>18.665999899999999</v>
      </c>
      <c r="AT18" s="207"/>
      <c r="AU18" s="207"/>
      <c r="AV18" s="185"/>
    </row>
    <row r="19" spans="1:48" ht="15.75" customHeight="1">
      <c r="A19" s="19"/>
      <c r="B19" s="17" t="s">
        <v>164</v>
      </c>
      <c r="C19" s="273">
        <f>Y40</f>
        <v>14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>
        <f>S14*U7</f>
        <v>50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>
        <f>Y94</f>
        <v>1.7417846153846153</v>
      </c>
      <c r="AH19" s="269" t="s">
        <v>168</v>
      </c>
      <c r="AI19" s="274">
        <f>Y83</f>
        <v>0.62</v>
      </c>
      <c r="AJ19" s="255" t="str">
        <f t="shared" ref="AJ19:AK19" si="2">AB95</f>
        <v>PASS</v>
      </c>
      <c r="AK19" s="270" t="str">
        <f t="shared" si="2"/>
        <v>---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169</v>
      </c>
      <c r="C20" s="275">
        <f>Y82</f>
        <v>20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MODULEINPUT!B21</f>
        <v>1</v>
      </c>
      <c r="N20" s="175"/>
      <c r="O20" s="175"/>
      <c r="P20" s="185"/>
      <c r="Q20" s="185"/>
      <c r="R20" s="186" t="s">
        <v>171</v>
      </c>
      <c r="S20" s="247">
        <f>U7*S15</f>
        <v>150</v>
      </c>
      <c r="T20" s="266" t="s">
        <v>172</v>
      </c>
      <c r="U20" s="185"/>
      <c r="V20" s="185"/>
      <c r="W20" s="188"/>
      <c r="X20" s="225" t="s">
        <v>117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173</v>
      </c>
      <c r="AG20" s="260">
        <f>AG16</f>
        <v>13.0632096</v>
      </c>
      <c r="AH20" s="269" t="s">
        <v>174</v>
      </c>
      <c r="AI20" s="260">
        <f ca="1">AC65/1000</f>
        <v>299.46404311361999</v>
      </c>
      <c r="AJ20" s="255" t="str">
        <f ca="1">AC66</f>
        <v>PASS</v>
      </c>
      <c r="AK20" s="270" t="str">
        <f ca="1">AC67</f>
        <v>---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279">
        <f t="array" ref="M21">INDEX(MODULEINPUT!C14:C17,MATCH(M20,MODULEINPUT!A14:A17,0))+N15</f>
        <v>124</v>
      </c>
      <c r="N21" s="175"/>
      <c r="O21" s="175"/>
      <c r="P21" s="185"/>
      <c r="Q21" s="185"/>
      <c r="R21" s="186" t="s">
        <v>175</v>
      </c>
      <c r="S21" s="247">
        <f ca="1">S14*U8</f>
        <v>65.347999999999999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>
        <f>IF(AA13=Y9,AA20,IF(AB13=Y9,AB20,AC20))</f>
        <v>84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48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>
        <f ca="1">MODULEINPUT!P5*M21</f>
        <v>32.673999999999999</v>
      </c>
      <c r="N22" s="185"/>
      <c r="O22" s="185"/>
      <c r="P22" s="185"/>
      <c r="Q22" s="185"/>
      <c r="R22" s="186" t="s">
        <v>178</v>
      </c>
      <c r="S22" s="175">
        <f ca="1">U8*S15</f>
        <v>196.04399999999998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48" ht="15.75" customHeight="1">
      <c r="A23" s="17" t="s">
        <v>142</v>
      </c>
      <c r="B23" s="281">
        <f t="shared" ref="B23:B24" si="3">Y59/1000</f>
        <v>45.721233599999998</v>
      </c>
      <c r="C23" s="17" t="s">
        <v>143</v>
      </c>
      <c r="D23" s="281">
        <f>Y86/1000</f>
        <v>54.448593750000001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3.3333333333333335</v>
      </c>
      <c r="AS23" s="213">
        <f t="shared" si="4"/>
        <v>15</v>
      </c>
      <c r="AT23" s="207"/>
      <c r="AU23" s="207"/>
      <c r="AV23" s="185"/>
    </row>
    <row r="24" spans="1:48" ht="15.75" customHeight="1">
      <c r="A24" s="17" t="s">
        <v>150</v>
      </c>
      <c r="B24" s="287">
        <f t="shared" si="3"/>
        <v>13.0632096</v>
      </c>
      <c r="C24" s="17" t="s">
        <v>151</v>
      </c>
      <c r="D24" s="287">
        <f>Y79/1000</f>
        <v>14.731215835768616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>
        <f ca="1">LINTEL1!$B31</f>
        <v>10.197148689300223</v>
      </c>
      <c r="AH24" s="254" t="s">
        <v>143</v>
      </c>
      <c r="AI24" s="253">
        <f>LINTEL1!$D31</f>
        <v>11.577866464215365</v>
      </c>
      <c r="AJ24" s="255" t="str">
        <f t="shared" ref="AJ24:AK24" ca="1" si="5">Q86</f>
        <v>PASS</v>
      </c>
      <c r="AK24" s="256" t="str">
        <f t="shared" si="5"/>
        <v>Tension Controls</v>
      </c>
      <c r="AL24" s="284"/>
      <c r="AM24" s="285"/>
      <c r="AN24" s="184"/>
      <c r="AO24" s="191"/>
      <c r="AP24" s="188"/>
      <c r="AQ24" s="286">
        <v>2</v>
      </c>
      <c r="AR24" s="213">
        <f>AR23</f>
        <v>3.3333333333333335</v>
      </c>
      <c r="AS24" s="213">
        <f>AS11</f>
        <v>18.666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>
        <f ca="1">LINTEL1!$B32</f>
        <v>2.0000000467443901E-15</v>
      </c>
      <c r="AH25" s="254" t="s">
        <v>143</v>
      </c>
      <c r="AI25" s="253">
        <f>LINTEL1!$D32</f>
        <v>11.577866464215365</v>
      </c>
      <c r="AJ25" s="255" t="str">
        <f t="shared" ref="AJ25:AK25" ca="1" si="6">Q87</f>
        <v>PASS</v>
      </c>
      <c r="AK25" s="256" t="str">
        <f t="shared" si="6"/>
        <v>Tension Controls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1.3333333333333335</v>
      </c>
      <c r="AS25" s="213">
        <f>AS24</f>
        <v>18.666</v>
      </c>
      <c r="AT25" s="207"/>
      <c r="AU25" s="207"/>
      <c r="AV25" s="185"/>
    </row>
    <row r="26" spans="1:48" ht="15.75" customHeight="1">
      <c r="A26" s="19"/>
      <c r="B26" s="17" t="s">
        <v>184</v>
      </c>
      <c r="C26" s="289">
        <f>Y91/1000</f>
        <v>12.2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>
        <f ca="1">LINTEL1!$B33</f>
        <v>2.3088755229303999</v>
      </c>
      <c r="AH26" s="254" t="s">
        <v>151</v>
      </c>
      <c r="AI26" s="260">
        <f ca="1">LINTEL1!$D33</f>
        <v>33.535438494068352</v>
      </c>
      <c r="AJ26" s="255" t="str">
        <f t="shared" ref="AJ26:AK26" ca="1" si="7">Q88</f>
        <v>PASS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1.3333333333333335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188</v>
      </c>
      <c r="C27" s="292">
        <f>Y107</f>
        <v>1441.3876293654423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>
        <f ca="1">S21</f>
        <v>65.347999999999999</v>
      </c>
      <c r="N27" s="207">
        <f ca="1">S22</f>
        <v>196.04399999999998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>
        <f>LINTEL1!$B34</f>
        <v>17.031782400000001</v>
      </c>
      <c r="AH27" s="299" t="s">
        <v>192</v>
      </c>
      <c r="AI27" s="298">
        <f>LINTEL1!$D34</f>
        <v>124.78117441834642</v>
      </c>
      <c r="AJ27" s="300" t="str">
        <f t="shared" ref="AJ27:AK27" si="8">Q89</f>
        <v>PASS</v>
      </c>
      <c r="AK27" s="301" t="str">
        <f t="shared" si="8"/>
        <v>No Slender Provisions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15.333333333333334</v>
      </c>
      <c r="AS27" s="213">
        <f t="shared" si="9"/>
        <v>15</v>
      </c>
      <c r="AT27" s="207"/>
      <c r="AU27" s="207"/>
      <c r="AV27" s="185"/>
    </row>
    <row r="28" spans="1:48" ht="15.75" customHeight="1">
      <c r="A28" s="19"/>
      <c r="B28" s="572" t="str">
        <f ca="1">IF(AJ17="FAIL",AK17,IF(AJ18="FAIL","Deflection Fails",IF(AJ20="FAIL",AK20,"")))</f>
        <v/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>
        <f>1*S19</f>
        <v>50</v>
      </c>
      <c r="N28" s="207">
        <f>1*S20</f>
        <v>150</v>
      </c>
      <c r="O28" s="185"/>
      <c r="P28" s="207"/>
      <c r="Q28" s="305" t="s">
        <v>181</v>
      </c>
      <c r="R28" s="306">
        <f ca="1">S145</f>
        <v>10197.148689300222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15.333333333333334</v>
      </c>
      <c r="AS28" s="213">
        <f>AS25</f>
        <v>18.666</v>
      </c>
      <c r="AT28" s="207"/>
      <c r="AU28" s="207"/>
      <c r="AV28" s="185"/>
    </row>
    <row r="29" spans="1:48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>
        <f t="shared" ref="M29:N29" ca="1" si="10">MAX(M27:M28)</f>
        <v>65.347999999999999</v>
      </c>
      <c r="N29" s="201">
        <f t="shared" ca="1" si="10"/>
        <v>196.04399999999998</v>
      </c>
      <c r="O29" s="311" t="s">
        <v>90</v>
      </c>
      <c r="P29" s="207"/>
      <c r="Q29" s="312" t="s">
        <v>183</v>
      </c>
      <c r="R29" s="313">
        <f t="shared" ref="R29:R30" ca="1" si="11">S147</f>
        <v>-2.00000004674439E-12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17.333333333333336</v>
      </c>
      <c r="AS29" s="213">
        <f>AS28</f>
        <v>18.666</v>
      </c>
      <c r="AT29" s="207"/>
      <c r="AU29" s="207"/>
      <c r="AV29" s="185"/>
    </row>
    <row r="30" spans="1:48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>
        <f t="shared" ca="1" si="11"/>
        <v>2308.8755229303997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17.333333333333336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181</v>
      </c>
      <c r="B31" s="319">
        <f t="shared" ref="B31:B34" ca="1" si="12">M86/1000</f>
        <v>10.197148689300223</v>
      </c>
      <c r="C31" s="318" t="s">
        <v>143</v>
      </c>
      <c r="D31" s="319">
        <f t="shared" ref="D31:D34" si="13">O86/1000</f>
        <v>11.577866464215365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183</v>
      </c>
      <c r="B32" s="319">
        <f ca="1">M87/1000</f>
        <v>2.0000000467443901E-15</v>
      </c>
      <c r="C32" s="318" t="s">
        <v>143</v>
      </c>
      <c r="D32" s="319">
        <f t="shared" si="13"/>
        <v>11.577866464215365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>
        <f>(VLOOKUP(Q10,X26:Y32,2,FALSE))*Q9</f>
        <v>0.62</v>
      </c>
      <c r="N32" s="266" t="s">
        <v>198</v>
      </c>
      <c r="O32" s="320" t="s">
        <v>199</v>
      </c>
      <c r="P32" s="321">
        <f>0.8*M35</f>
        <v>2.3254541475158681</v>
      </c>
      <c r="Q32" s="186"/>
      <c r="R32" s="313"/>
      <c r="S32" s="207"/>
      <c r="T32" s="186" t="s">
        <v>200</v>
      </c>
      <c r="U32" s="313">
        <f>(0.8*M10*P32*P33*(M34-P32/2))/12</f>
        <v>30880.341320251751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>
        <f>MAX(AR5:AS30)</f>
        <v>18.666</v>
      </c>
      <c r="AS32" s="213">
        <f>AR32</f>
        <v>18.666</v>
      </c>
      <c r="AT32" s="207"/>
      <c r="AU32" s="207"/>
      <c r="AV32" s="185"/>
    </row>
    <row r="33" spans="1:48" ht="15.75" customHeight="1">
      <c r="A33" s="318" t="s">
        <v>150</v>
      </c>
      <c r="B33" s="324">
        <f t="shared" ca="1" si="12"/>
        <v>2.3088755229303999</v>
      </c>
      <c r="C33" s="318" t="s">
        <v>151</v>
      </c>
      <c r="D33" s="324">
        <f t="shared" ca="1" si="13"/>
        <v>33.535438494068352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24</v>
      </c>
      <c r="Q33" s="186"/>
      <c r="R33" s="313"/>
      <c r="S33" s="207"/>
      <c r="T33" s="186" t="s">
        <v>203</v>
      </c>
      <c r="U33" s="313">
        <f>(M32*M33*(M34-P32/2))/12</f>
        <v>12864.296071350405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>
        <f t="shared" si="12"/>
        <v>17.031782400000001</v>
      </c>
      <c r="C34" s="318" t="s">
        <v>192</v>
      </c>
      <c r="D34" s="324">
        <f t="shared" si="13"/>
        <v>124.78117441834642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>
        <f>Q8</f>
        <v>5.3125</v>
      </c>
      <c r="N34" s="266" t="s">
        <v>205</v>
      </c>
      <c r="O34" s="320" t="s">
        <v>206</v>
      </c>
      <c r="P34" s="207">
        <f>(M32*M33)/(0.8*P32*P33)</f>
        <v>833.17058823529396</v>
      </c>
      <c r="Q34" s="266" t="str">
        <f>IF(P34&gt;M10,"Compression Controls","Tension Controls")</f>
        <v>Tension Controls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>
        <f>(0.0025/(0.0025+0.002069))*M34</f>
        <v>2.9068176843948348</v>
      </c>
      <c r="N35" s="266" t="s">
        <v>82</v>
      </c>
      <c r="O35" s="326" t="s">
        <v>157</v>
      </c>
      <c r="P35" s="327">
        <f>MIN(U32:U33)</f>
        <v>12864.296071350405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3.3333333333333335</v>
      </c>
      <c r="AS36" s="213">
        <f t="shared" si="14"/>
        <v>15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1.3333333333333335</v>
      </c>
      <c r="AS37" s="213">
        <f>AS36</f>
        <v>15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1.3333333333333335</v>
      </c>
      <c r="AS38" s="213">
        <f>AS37+Q3/12</f>
        <v>17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ROUND(LINTEL1!F6/8,0)</f>
        <v>3</v>
      </c>
      <c r="D39" s="40" t="str">
        <f>""</f>
        <v/>
      </c>
      <c r="E39" s="40"/>
      <c r="F39" s="40"/>
      <c r="G39" s="93" t="s">
        <v>214</v>
      </c>
      <c r="H39" s="44">
        <f>ROUND(LINTEL1!F11/8,0)</f>
        <v>3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17.333333333333336</v>
      </c>
      <c r="AS39" s="213">
        <f>AS38</f>
        <v>17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CONCATENATE("(",LINTEL1!F7,")"," #",LINTEL1!F8)</f>
        <v>(2) #5</v>
      </c>
      <c r="D40" s="19"/>
      <c r="E40" s="19"/>
      <c r="F40" s="19"/>
      <c r="G40" s="17" t="s">
        <v>217</v>
      </c>
      <c r="H40" s="15" t="str">
        <f>CONCATENATE("(", IF(Q11=2,LINTEL1!F13*2,LINTEL1!F13),")"," #",LINTEL1!F14)</f>
        <v>(4) #5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14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17.333333333333336</v>
      </c>
      <c r="AS40" s="213">
        <f>AS36</f>
        <v>15</v>
      </c>
      <c r="AT40" s="185"/>
      <c r="AU40" s="185"/>
      <c r="AV40" s="185"/>
    </row>
    <row r="41" spans="1:48" ht="15.75" customHeight="1">
      <c r="A41" s="17"/>
      <c r="B41" s="17" t="str">
        <f>CONCATENATE("Shear Reinforcing (",AB71,"):")</f>
        <v>Shear Reinforcing (Not Req'd):</v>
      </c>
      <c r="C41" s="15" t="s">
        <v>219</v>
      </c>
      <c r="D41" s="15" t="s">
        <v>220</v>
      </c>
      <c r="E41" s="19"/>
      <c r="F41" s="19"/>
      <c r="G41" s="17" t="s">
        <v>221</v>
      </c>
      <c r="H41" s="347">
        <f>LINTEL1!F12</f>
        <v>5.3125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15.333333333333334</v>
      </c>
      <c r="AS41" s="213">
        <f>AS36</f>
        <v>15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str">
        <f t="shared" ref="C42:C44" si="15">Z74</f>
        <v>-</v>
      </c>
      <c r="D42" s="348" t="str">
        <f t="shared" ref="D42:D44" si="16">AB74</f>
        <v>-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str">
        <f t="shared" si="15"/>
        <v>-</v>
      </c>
      <c r="D43" s="348" t="str">
        <f t="shared" si="16"/>
        <v>-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str">
        <f t="shared" si="15"/>
        <v>-</v>
      </c>
      <c r="D44" s="348" t="str">
        <f t="shared" si="16"/>
        <v>-</v>
      </c>
      <c r="E44" s="333"/>
      <c r="F44" s="333"/>
      <c r="G44" s="333"/>
      <c r="H44" s="318" t="s">
        <v>125</v>
      </c>
      <c r="I44" s="350" t="str">
        <f ca="1">AM11</f>
        <v>OK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7.666666666666667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>
        <f>(Y44-Q3/12)*N15+Q3/12*N16</f>
        <v>644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356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customHeight="1">
      <c r="A47" s="455"/>
      <c r="B47" s="455"/>
      <c r="C47" s="456"/>
      <c r="D47" s="457"/>
      <c r="E47" s="457"/>
      <c r="F47" s="457"/>
      <c r="G47" s="458"/>
      <c r="H47" s="458"/>
      <c r="I47" s="458"/>
      <c r="J47" s="458"/>
      <c r="K47" s="459"/>
      <c r="L47" s="460"/>
      <c r="M47" s="461"/>
      <c r="N47" s="462"/>
      <c r="O47" s="462"/>
      <c r="P47" s="462"/>
      <c r="Q47" s="462"/>
      <c r="R47" s="462"/>
      <c r="S47" s="463"/>
      <c r="T47" s="463"/>
      <c r="U47" s="463"/>
      <c r="V47" s="464"/>
      <c r="W47" s="465" t="s">
        <v>228</v>
      </c>
      <c r="X47" s="466"/>
      <c r="Y47" s="466"/>
      <c r="Z47" s="466"/>
      <c r="AA47" s="463"/>
      <c r="AB47" s="463"/>
      <c r="AC47" s="463"/>
      <c r="AD47" s="464"/>
      <c r="AE47" s="467"/>
      <c r="AF47" s="467"/>
      <c r="AG47" s="467"/>
      <c r="AH47" s="467"/>
      <c r="AI47" s="467"/>
      <c r="AJ47" s="467"/>
      <c r="AK47" s="467"/>
      <c r="AL47" s="467"/>
      <c r="AM47" s="467"/>
      <c r="AN47" s="467"/>
      <c r="AO47" s="467"/>
      <c r="AP47" s="468"/>
      <c r="AQ47" s="463"/>
      <c r="AR47" s="462"/>
      <c r="AS47" s="462"/>
      <c r="AT47" s="462"/>
      <c r="AU47" s="462"/>
      <c r="AV47" s="462"/>
    </row>
    <row r="48" spans="1:48" ht="12.75" customHeight="1">
      <c r="A48" s="455"/>
      <c r="B48" s="455"/>
      <c r="C48" s="456"/>
      <c r="D48" s="457"/>
      <c r="E48" s="457"/>
      <c r="F48" s="457"/>
      <c r="G48" s="458"/>
      <c r="H48" s="458"/>
      <c r="I48" s="458"/>
      <c r="J48" s="458"/>
      <c r="K48" s="459"/>
      <c r="L48" s="460"/>
      <c r="M48" s="461"/>
      <c r="N48" s="462"/>
      <c r="O48" s="462"/>
      <c r="P48" s="462"/>
      <c r="Q48" s="462"/>
      <c r="R48" s="462"/>
      <c r="S48" s="463"/>
      <c r="T48" s="463"/>
      <c r="U48" s="463"/>
      <c r="V48" s="464"/>
      <c r="W48" s="469" t="s">
        <v>229</v>
      </c>
      <c r="X48" s="463"/>
      <c r="Y48" s="463"/>
      <c r="Z48" s="463"/>
      <c r="AA48" s="463"/>
      <c r="AB48" s="463"/>
      <c r="AC48" s="463"/>
      <c r="AD48" s="464"/>
      <c r="AE48" s="467"/>
      <c r="AF48" s="467"/>
      <c r="AG48" s="467"/>
      <c r="AH48" s="467"/>
      <c r="AI48" s="467"/>
      <c r="AJ48" s="467"/>
      <c r="AK48" s="467"/>
      <c r="AL48" s="467"/>
      <c r="AM48" s="467"/>
      <c r="AN48" s="467"/>
      <c r="AO48" s="467"/>
      <c r="AP48" s="468"/>
      <c r="AQ48" s="463"/>
      <c r="AR48" s="462"/>
      <c r="AS48" s="462"/>
      <c r="AT48" s="462"/>
      <c r="AU48" s="462"/>
      <c r="AV48" s="462"/>
    </row>
    <row r="49" spans="1:48" ht="12.75" customHeight="1">
      <c r="A49" s="470"/>
      <c r="B49" s="471"/>
      <c r="C49" s="471"/>
      <c r="D49" s="471"/>
      <c r="E49" s="471"/>
      <c r="F49" s="471"/>
      <c r="G49" s="471"/>
      <c r="H49" s="471"/>
      <c r="I49" s="471"/>
      <c r="J49" s="458"/>
      <c r="K49" s="459"/>
      <c r="L49" s="460"/>
      <c r="M49" s="461"/>
      <c r="N49" s="462"/>
      <c r="O49" s="462"/>
      <c r="P49" s="462"/>
      <c r="Q49" s="462"/>
      <c r="R49" s="462"/>
      <c r="S49" s="463"/>
      <c r="T49" s="463"/>
      <c r="U49" s="463"/>
      <c r="V49" s="464"/>
      <c r="W49" s="468"/>
      <c r="X49" s="463" t="s">
        <v>230</v>
      </c>
      <c r="Y49" s="472">
        <f>IF(Y43="No",U4+N17,Y45)</f>
        <v>607.94399999999996</v>
      </c>
      <c r="Z49" s="473" t="s">
        <v>90</v>
      </c>
      <c r="AA49" s="474" t="s">
        <v>231</v>
      </c>
      <c r="AB49" s="475">
        <f>SUM(Y49:Y51)</f>
        <v>1318.3440000000001</v>
      </c>
      <c r="AC49" s="476" t="s">
        <v>90</v>
      </c>
      <c r="AD49" s="464"/>
      <c r="AE49" s="467"/>
      <c r="AF49" s="467"/>
      <c r="AG49" s="467"/>
      <c r="AH49" s="467"/>
      <c r="AI49" s="467"/>
      <c r="AJ49" s="467"/>
      <c r="AK49" s="467"/>
      <c r="AL49" s="467"/>
      <c r="AM49" s="467"/>
      <c r="AN49" s="467"/>
      <c r="AO49" s="467"/>
      <c r="AP49" s="468"/>
      <c r="AQ49" s="463"/>
      <c r="AR49" s="462"/>
      <c r="AS49" s="462"/>
      <c r="AT49" s="462"/>
      <c r="AU49" s="462"/>
      <c r="AV49" s="462"/>
    </row>
    <row r="50" spans="1:48" ht="12.75" customHeight="1">
      <c r="A50" s="470"/>
      <c r="B50" s="471"/>
      <c r="C50" s="471"/>
      <c r="D50" s="471"/>
      <c r="E50" s="471"/>
      <c r="F50" s="471"/>
      <c r="G50" s="471"/>
      <c r="H50" s="471"/>
      <c r="I50" s="471"/>
      <c r="J50" s="458"/>
      <c r="K50" s="477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9"/>
      <c r="W50" s="468"/>
      <c r="X50" s="463" t="s">
        <v>232</v>
      </c>
      <c r="Y50" s="472">
        <f>IF(Y43="No",U5,0)</f>
        <v>0</v>
      </c>
      <c r="Z50" s="473" t="s">
        <v>90</v>
      </c>
      <c r="AA50" s="468"/>
      <c r="AB50" s="463"/>
      <c r="AC50" s="480"/>
      <c r="AD50" s="480"/>
      <c r="AE50" s="481"/>
      <c r="AF50" s="481"/>
      <c r="AG50" s="481"/>
      <c r="AH50" s="481"/>
      <c r="AI50" s="481"/>
      <c r="AJ50" s="481"/>
      <c r="AK50" s="481"/>
      <c r="AL50" s="481"/>
      <c r="AM50" s="481"/>
      <c r="AN50" s="481"/>
      <c r="AO50" s="481"/>
      <c r="AP50" s="482"/>
      <c r="AQ50" s="462"/>
      <c r="AR50" s="462"/>
      <c r="AS50" s="462"/>
      <c r="AT50" s="462"/>
      <c r="AU50" s="462"/>
      <c r="AV50" s="462"/>
    </row>
    <row r="51" spans="1:48" ht="12.75" customHeight="1">
      <c r="A51" s="470"/>
      <c r="B51" s="471"/>
      <c r="C51" s="471"/>
      <c r="D51" s="471"/>
      <c r="E51" s="471"/>
      <c r="F51" s="471"/>
      <c r="G51" s="471"/>
      <c r="H51" s="471"/>
      <c r="I51" s="471"/>
      <c r="J51" s="458"/>
      <c r="K51" s="466"/>
      <c r="L51" s="483"/>
      <c r="M51" s="483"/>
      <c r="N51" s="483"/>
      <c r="O51" s="483"/>
      <c r="P51" s="483"/>
      <c r="Q51" s="483"/>
      <c r="R51" s="483"/>
      <c r="S51" s="569"/>
      <c r="T51" s="570"/>
      <c r="U51" s="570"/>
      <c r="V51" s="571"/>
      <c r="W51" s="468"/>
      <c r="X51" s="463" t="s">
        <v>233</v>
      </c>
      <c r="Y51" s="472">
        <f>IF(Y43="No",U6,0)</f>
        <v>710.40000000000009</v>
      </c>
      <c r="Z51" s="473" t="s">
        <v>90</v>
      </c>
      <c r="AA51" s="484" t="s">
        <v>234</v>
      </c>
      <c r="AB51" s="485">
        <f>AB49*(Y40^2)/8</f>
        <v>32299.428</v>
      </c>
      <c r="AC51" s="479" t="s">
        <v>235</v>
      </c>
      <c r="AD51" s="480"/>
      <c r="AE51" s="486"/>
      <c r="AF51" s="487"/>
      <c r="AG51" s="487"/>
      <c r="AH51" s="487"/>
      <c r="AI51" s="487"/>
      <c r="AJ51" s="487"/>
      <c r="AK51" s="487"/>
      <c r="AL51" s="487"/>
      <c r="AM51" s="487"/>
      <c r="AN51" s="487"/>
      <c r="AO51" s="487"/>
      <c r="AP51" s="462"/>
      <c r="AQ51" s="462"/>
      <c r="AR51" s="462"/>
      <c r="AS51" s="462"/>
      <c r="AT51" s="462"/>
      <c r="AU51" s="462"/>
      <c r="AV51" s="462"/>
    </row>
    <row r="52" spans="1:48" ht="12.75" customHeight="1">
      <c r="A52" s="470"/>
      <c r="B52" s="471"/>
      <c r="C52" s="471"/>
      <c r="D52" s="471"/>
      <c r="E52" s="471"/>
      <c r="F52" s="471"/>
      <c r="G52" s="471"/>
      <c r="H52" s="471"/>
      <c r="I52" s="471"/>
      <c r="J52" s="458"/>
      <c r="K52" s="466"/>
      <c r="L52" s="466"/>
      <c r="M52" s="466"/>
      <c r="N52" s="466"/>
      <c r="O52" s="466"/>
      <c r="P52" s="466"/>
      <c r="Q52" s="466"/>
      <c r="R52" s="466"/>
      <c r="S52" s="463"/>
      <c r="T52" s="463"/>
      <c r="U52" s="463"/>
      <c r="V52" s="463"/>
      <c r="W52" s="468"/>
      <c r="X52" s="466"/>
      <c r="Y52" s="466"/>
      <c r="Z52" s="466"/>
      <c r="AA52" s="488"/>
      <c r="AB52" s="473"/>
      <c r="AC52" s="463"/>
      <c r="AD52" s="464"/>
      <c r="AE52" s="467"/>
      <c r="AF52" s="467"/>
      <c r="AG52" s="467"/>
      <c r="AH52" s="467"/>
      <c r="AI52" s="467"/>
      <c r="AJ52" s="467"/>
      <c r="AK52" s="467"/>
      <c r="AL52" s="467"/>
      <c r="AM52" s="467"/>
      <c r="AN52" s="467"/>
      <c r="AO52" s="467"/>
      <c r="AP52" s="468"/>
      <c r="AQ52" s="463"/>
      <c r="AR52" s="462"/>
      <c r="AS52" s="462"/>
      <c r="AT52" s="462"/>
      <c r="AU52" s="462"/>
      <c r="AV52" s="462"/>
    </row>
    <row r="53" spans="1:48" ht="12.75" customHeight="1">
      <c r="A53" s="470"/>
      <c r="B53" s="471"/>
      <c r="C53" s="471"/>
      <c r="D53" s="471"/>
      <c r="E53" s="471"/>
      <c r="F53" s="471"/>
      <c r="G53" s="471"/>
      <c r="H53" s="471"/>
      <c r="I53" s="471"/>
      <c r="J53" s="458"/>
      <c r="K53" s="489" t="s">
        <v>236</v>
      </c>
      <c r="L53" s="466"/>
      <c r="M53" s="466"/>
      <c r="N53" s="466"/>
      <c r="O53" s="466"/>
      <c r="P53" s="466"/>
      <c r="Q53" s="466"/>
      <c r="R53" s="466"/>
      <c r="S53" s="463"/>
      <c r="T53" s="463"/>
      <c r="U53" s="463"/>
      <c r="V53" s="463"/>
      <c r="W53" s="459"/>
      <c r="X53" s="466"/>
      <c r="Y53" s="466"/>
      <c r="Z53" s="466"/>
      <c r="AA53" s="462"/>
      <c r="AB53" s="463"/>
      <c r="AC53" s="463"/>
      <c r="AD53" s="464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8"/>
      <c r="AQ53" s="463"/>
      <c r="AR53" s="462"/>
      <c r="AS53" s="462"/>
      <c r="AT53" s="462"/>
      <c r="AU53" s="462"/>
      <c r="AV53" s="462"/>
    </row>
    <row r="54" spans="1:48" ht="14.25" customHeight="1">
      <c r="A54" s="361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customHeight="1">
      <c r="A55" s="361"/>
      <c r="J55" s="359"/>
      <c r="K55" s="175"/>
      <c r="L55" s="378" t="s">
        <v>191</v>
      </c>
      <c r="M55" s="379">
        <f>1.2*S16+1.6*(MAX(S17:S18))+0.8*(MIN(S17:S18))</f>
        <v>17031.7824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>
        <f>1.2*Y49+1.6*Y50+0.5*Y51</f>
        <v>1084.7328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customHeight="1">
      <c r="A56" s="361"/>
      <c r="J56" s="359"/>
      <c r="K56" s="175"/>
      <c r="L56" s="211" t="s">
        <v>240</v>
      </c>
      <c r="M56" s="185">
        <f>Q7*M5</f>
        <v>183</v>
      </c>
      <c r="N56" s="185" t="s">
        <v>198</v>
      </c>
      <c r="O56" s="175"/>
      <c r="P56" s="211" t="s">
        <v>241</v>
      </c>
      <c r="Q56" s="381">
        <f>0.8*(0.8*M10*(M56-M32)+(M33*M32))*(1-(M59/140)^2)</f>
        <v>138645.74935371825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>
        <f>1.2*Y49+1.6*Y51+Z54*Y50</f>
        <v>1866.1728000000001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customHeight="1">
      <c r="A57" s="361"/>
      <c r="J57" s="359"/>
      <c r="K57" s="207"/>
      <c r="L57" s="211" t="s">
        <v>244</v>
      </c>
      <c r="M57" s="265">
        <f>Q7*M5^3/12</f>
        <v>886.64453125</v>
      </c>
      <c r="N57" s="185" t="s">
        <v>245</v>
      </c>
      <c r="O57" s="175"/>
      <c r="P57" s="211" t="s">
        <v>241</v>
      </c>
      <c r="Q57" s="381">
        <f>0.8*(0.8*M10*(M56-M32)+(M33*M32))*(70/M59)^2</f>
        <v>139043.92888426999</v>
      </c>
      <c r="R57" s="175" t="s">
        <v>246</v>
      </c>
      <c r="S57" s="207"/>
      <c r="T57" s="207"/>
      <c r="U57" s="207"/>
      <c r="V57" s="207"/>
      <c r="W57" s="176"/>
      <c r="X57" s="223" t="str">
        <f>IF(Y56&gt;Y55,X56,X55)</f>
        <v>1.2 D + 1.6 S + f1 L</v>
      </c>
      <c r="Y57" s="382">
        <f>MAX(Y55:Y56)</f>
        <v>1866.1728000000001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customHeight="1">
      <c r="A58" s="361"/>
      <c r="J58" s="359"/>
      <c r="K58" s="207"/>
      <c r="L58" s="186" t="s">
        <v>247</v>
      </c>
      <c r="M58" s="246">
        <f>SQRT(M57/M56)</f>
        <v>2.2011479012854482</v>
      </c>
      <c r="N58" s="185"/>
      <c r="O58" s="175"/>
      <c r="P58" s="384" t="s">
        <v>241</v>
      </c>
      <c r="Q58" s="385">
        <f>IF(M59&lt;99,Q56,Q57)</f>
        <v>138645.74935371825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customHeight="1">
      <c r="A59" s="361"/>
      <c r="J59" s="359"/>
      <c r="K59" s="207"/>
      <c r="L59" s="185" t="s">
        <v>248</v>
      </c>
      <c r="M59" s="246">
        <f>M4*12/M58</f>
        <v>96.309748143774812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>
        <f>(Y57*Y40^2)/8</f>
        <v>45721.2336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customHeight="1">
      <c r="A60" s="361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>
        <f>Y57*Y40/2</f>
        <v>13063.2096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customHeight="1">
      <c r="A61" s="361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customHeight="1">
      <c r="A62" s="361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customHeight="1">
      <c r="A63" s="361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customHeight="1">
      <c r="A64" s="361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>
        <f>M5*Q3</f>
        <v>183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customHeight="1">
      <c r="A65" s="361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>
        <f>MIN(Y59*12/(Y60*Q3),1)</f>
        <v>1</v>
      </c>
      <c r="Z65" s="207"/>
      <c r="AA65" s="207"/>
      <c r="AB65" s="186" t="s">
        <v>174</v>
      </c>
      <c r="AC65" s="362">
        <f ca="1">0.6*0.6*S149*M5*(Q7-3/8)</f>
        <v>299464.04311362002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customHeight="1">
      <c r="A66" s="361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>
        <f>(4-1.75*Y65)*Y64*SQRT(M10)</f>
        <v>18414.01979471077</v>
      </c>
      <c r="Z66" s="396" t="s">
        <v>148</v>
      </c>
      <c r="AA66" s="207"/>
      <c r="AB66" s="207" t="s">
        <v>256</v>
      </c>
      <c r="AC66" s="207" t="str">
        <f ca="1">IF(AC65&gt;Y60,"PASS","FAIL")</f>
        <v>PASS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customHeight="1">
      <c r="A67" s="361"/>
      <c r="J67" s="359"/>
      <c r="K67" s="207"/>
      <c r="L67" s="186" t="s">
        <v>257</v>
      </c>
      <c r="M67" s="320">
        <f>N14</f>
        <v>27.802229508196724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str">
        <f ca="1">IF(AC66="pass","---","Increase bearing area")</f>
        <v>---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customHeight="1">
      <c r="A68" s="361"/>
      <c r="J68" s="359"/>
      <c r="K68" s="207"/>
      <c r="L68" s="186" t="s">
        <v>259</v>
      </c>
      <c r="M68" s="320">
        <f>M55/M56</f>
        <v>93.069849180327864</v>
      </c>
      <c r="N68" s="185"/>
      <c r="O68" s="185"/>
      <c r="P68" s="207"/>
      <c r="Q68" s="175"/>
      <c r="R68" s="186" t="s">
        <v>188</v>
      </c>
      <c r="S68" s="397">
        <f ca="1">5*R28*(M4*12)^2/(48*57000*SQRT(M10)*M57)</f>
        <v>2.1120639801928697E-2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customHeight="1">
      <c r="A69" s="357"/>
      <c r="J69" s="359"/>
      <c r="K69" s="207"/>
      <c r="L69" s="207" t="s">
        <v>261</v>
      </c>
      <c r="M69" s="185">
        <f>0.2*M10</f>
        <v>400</v>
      </c>
      <c r="N69" s="185" t="str">
        <f>IF(M68&gt;M69,"Column to Small","Column Size Okay")</f>
        <v>Column Size Okay</v>
      </c>
      <c r="O69" s="185"/>
      <c r="P69" s="207"/>
      <c r="Q69" s="175"/>
      <c r="R69" s="186" t="s">
        <v>262</v>
      </c>
      <c r="S69" s="397">
        <f>(1/2*M5)+0.5</f>
        <v>4.3125</v>
      </c>
      <c r="T69" s="207" t="s">
        <v>82</v>
      </c>
      <c r="U69" s="207"/>
      <c r="V69" s="207"/>
      <c r="W69" s="231"/>
      <c r="X69" s="211" t="s">
        <v>263</v>
      </c>
      <c r="Y69" s="186">
        <f>0.0007*M5*Q3</f>
        <v>0.12809999999999999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customHeight="1">
      <c r="A70" s="357"/>
      <c r="J70" s="359"/>
      <c r="K70" s="207"/>
      <c r="L70" s="207" t="s">
        <v>264</v>
      </c>
      <c r="M70" s="185">
        <f>0.05*M10</f>
        <v>100</v>
      </c>
      <c r="N70" s="185" t="str">
        <f>IF(M68&gt;M70,"Column to Small","Column Size Okay")</f>
        <v>Column Size Okay</v>
      </c>
      <c r="O70" s="185"/>
      <c r="P70" s="207"/>
      <c r="Q70" s="175"/>
      <c r="R70" s="186" t="s">
        <v>265</v>
      </c>
      <c r="S70" s="313">
        <f ca="1">((M55*S69)+(M55*S68))/12</f>
        <v>6150.773645104603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12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customHeight="1">
      <c r="A71" s="357"/>
      <c r="J71" s="359"/>
      <c r="K71" s="185"/>
      <c r="L71" s="185"/>
      <c r="M71" s="185"/>
      <c r="N71" s="398" t="str">
        <f>IF(M67&gt;30,N70,N69)</f>
        <v>Column Size Okay</v>
      </c>
      <c r="O71" s="399"/>
      <c r="P71" s="185"/>
      <c r="Q71" s="400"/>
      <c r="R71" s="401" t="s">
        <v>265</v>
      </c>
      <c r="S71" s="402">
        <f>IF(M67&gt;30,S70,0)</f>
        <v>0</v>
      </c>
      <c r="T71" s="403" t="s">
        <v>194</v>
      </c>
      <c r="U71" s="185"/>
      <c r="V71" s="185"/>
      <c r="W71" s="188"/>
      <c r="X71" s="211" t="s">
        <v>267</v>
      </c>
      <c r="Y71" s="404">
        <f>IF(0.8*Y66&gt;Y60,0,Y60/0.8-Y66)</f>
        <v>0</v>
      </c>
      <c r="Z71" s="175" t="s">
        <v>148</v>
      </c>
      <c r="AA71" s="175" t="s">
        <v>256</v>
      </c>
      <c r="AB71" s="185" t="str">
        <f>IF(Y71=0,"Not Req'd","Req'd")</f>
        <v>Not Req'd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customHeight="1">
      <c r="A72" s="357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customHeight="1">
      <c r="A73" s="357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customHeight="1">
      <c r="A74" s="357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str">
        <f>IF(Y71=0,"-",IF(Y74&gt;Y69,IF(Y71=0,"-",MIN(Y70,ROUNDDOWN(Y74*U10*Q3/(2*Y71/1000),0))),"-"))</f>
        <v>-</v>
      </c>
      <c r="AA74" s="409">
        <v>0.22</v>
      </c>
      <c r="AB74" s="410" t="str">
        <f>IF(Y71=0,"-",IF(AA74&gt;Y69,IF(Y71=0,"-",MIN(Y70,ROUNDDOWN(AA74*U10*Q3/(2*Y71/1000),0))),"-"))</f>
        <v>-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customHeight="1">
      <c r="A75" s="357"/>
      <c r="J75" s="359"/>
      <c r="K75" s="185"/>
      <c r="L75" s="186" t="s">
        <v>274</v>
      </c>
      <c r="M75" s="265">
        <f ca="1">MAX(MAX(R28:R29),ABS(MIN(R28:R29)))+S71</f>
        <v>10197.148689300222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str">
        <f>IF(Y71=0,"-",IF(Y75&gt;Y69,IF(Y71=0,"-",MIN(Y70,ROUNDDOWN(Y75*U10*Q3/(2*Y71/1000),0))),"-"))</f>
        <v>-</v>
      </c>
      <c r="AA75" s="413">
        <v>0.4</v>
      </c>
      <c r="AB75" s="201" t="str">
        <f>IF(Y71=0,"-",IF(AA75&gt;Y69,IF(Y71=0,"-",MIN(Y70,ROUNDDOWN(AA75*U10*Q3/(2*Y71/1000),0))),"-"))</f>
        <v>-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customHeight="1">
      <c r="A76" s="357"/>
      <c r="J76" s="359"/>
      <c r="K76" s="185"/>
      <c r="L76" s="186" t="s">
        <v>275</v>
      </c>
      <c r="M76" s="265">
        <f ca="1">R30</f>
        <v>2308.8755229303997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str">
        <f>IF(Y71=0,"-",IF(Y76&gt;Y69,IF(Y71=0,"-",MIN(Y70,ROUNDDOWN(Y76*U10*Q3/(2*Y71/1000),0))),"-"))</f>
        <v>-</v>
      </c>
      <c r="AA76" s="415">
        <v>0.62</v>
      </c>
      <c r="AB76" s="339" t="str">
        <f>IF(Y71=0,"-",IF(AA76&gt;Y69,IF(Y71=0,"-",MIN(Y70,ROUNDDOWN(AA76*U10*Q3/(2*Y71/1000),0))),"-"))</f>
        <v>-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customHeight="1">
      <c r="A77" s="357"/>
      <c r="J77" s="359"/>
      <c r="K77" s="185"/>
      <c r="L77" s="186" t="s">
        <v>276</v>
      </c>
      <c r="M77" s="356">
        <f ca="1">M75/(M76*M5)</f>
        <v>0.57921311147540977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customHeight="1">
      <c r="A78" s="357"/>
      <c r="J78" s="359"/>
      <c r="K78" s="185"/>
      <c r="L78" s="186" t="s">
        <v>277</v>
      </c>
      <c r="M78" s="265">
        <f>6*M56*SQRT(M10)</f>
        <v>49104.052785895386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customHeight="1">
      <c r="A79" s="357"/>
      <c r="J79" s="359"/>
      <c r="K79" s="185"/>
      <c r="L79" s="186" t="s">
        <v>278</v>
      </c>
      <c r="M79" s="265">
        <f ca="1">(M80-M78)/(0.75)*(M77-0.25)+M78</f>
        <v>41919.298117585437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>
        <f>0.8*(Y71+Y66)</f>
        <v>14731.215835768617</v>
      </c>
      <c r="Z79" s="396" t="s">
        <v>148</v>
      </c>
      <c r="AA79" s="185" t="s">
        <v>256</v>
      </c>
      <c r="AB79" s="185" t="str">
        <f>IF(Y79&gt;=Y60,"PASS","FAIL")</f>
        <v>PASS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customHeight="1">
      <c r="A80" s="357"/>
      <c r="J80" s="359"/>
      <c r="K80" s="185"/>
      <c r="L80" s="186" t="s">
        <v>279</v>
      </c>
      <c r="M80" s="265">
        <f>4*M56*SQRT(M10)</f>
        <v>32736.035190596922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customHeight="1">
      <c r="A81" s="357"/>
      <c r="J81" s="359"/>
      <c r="K81" s="185"/>
      <c r="L81" s="418" t="s">
        <v>280</v>
      </c>
      <c r="M81" s="419">
        <f ca="1">IF(M77&lt;=0.25,M78,IF(M77&lt;=1,M79,M80))</f>
        <v>41919.298117585437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customHeight="1">
      <c r="A82" s="357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20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customHeight="1">
      <c r="A83" s="357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>
        <f>(VLOOKUP(Q5,X26:Y32,2,FALSE))*Q4</f>
        <v>0.62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customHeight="1">
      <c r="A84" s="357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customHeight="1">
      <c r="A85" s="357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>
        <f>Y83*Y84/(0.8*M10*Q3)</f>
        <v>0.96875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customHeight="1">
      <c r="A86" s="357"/>
      <c r="J86" s="359"/>
      <c r="K86" s="185"/>
      <c r="L86" s="186" t="s">
        <v>181</v>
      </c>
      <c r="M86" s="265">
        <f ca="1">R28+S71</f>
        <v>10197.148689300222</v>
      </c>
      <c r="N86" s="186" t="s">
        <v>143</v>
      </c>
      <c r="O86" s="265">
        <f>0.9*P35</f>
        <v>11577.866464215365</v>
      </c>
      <c r="P86" s="293">
        <f t="shared" ref="P86:P89" ca="1" si="17">O86/M86</f>
        <v>1.1354023381422218</v>
      </c>
      <c r="Q86" s="185" t="str">
        <f t="shared" ref="Q86:Q89" ca="1" si="18">IF(P86&lt;1,"FAILS","PASS")</f>
        <v>PASS</v>
      </c>
      <c r="R86" s="185" t="str">
        <f>Q34</f>
        <v>Tension Controls</v>
      </c>
      <c r="S86" s="185"/>
      <c r="T86" s="185"/>
      <c r="U86" s="185"/>
      <c r="V86" s="185"/>
      <c r="W86" s="312"/>
      <c r="X86" s="378" t="s">
        <v>143</v>
      </c>
      <c r="Y86" s="417">
        <f>0.9*(Y83*Y84*(Y82-Y85/2))/12</f>
        <v>54448.59375</v>
      </c>
      <c r="Z86" s="396" t="s">
        <v>235</v>
      </c>
      <c r="AA86" s="185" t="s">
        <v>256</v>
      </c>
      <c r="AB86" s="185" t="str">
        <f>IF(Y86&gt;Y59,"PASS","FAIL")</f>
        <v>PASS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customHeight="1">
      <c r="A87" s="357"/>
      <c r="J87" s="359"/>
      <c r="K87" s="185"/>
      <c r="L87" s="186" t="s">
        <v>183</v>
      </c>
      <c r="M87" s="265">
        <f ca="1">IF(R29=0,0.01,ABS(R29))</f>
        <v>2.00000004674439E-12</v>
      </c>
      <c r="N87" s="186" t="s">
        <v>143</v>
      </c>
      <c r="O87" s="265">
        <f>0.9*P35</f>
        <v>11577.866464215365</v>
      </c>
      <c r="P87" s="293">
        <f t="shared" ca="1" si="17"/>
        <v>5788933096807610</v>
      </c>
      <c r="Q87" s="185" t="str">
        <f t="shared" ca="1" si="18"/>
        <v>PASS</v>
      </c>
      <c r="R87" s="185" t="str">
        <f>Q34</f>
        <v>Tension Controls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customHeight="1">
      <c r="A88" s="357"/>
      <c r="J88" s="359"/>
      <c r="K88" s="185"/>
      <c r="L88" s="186" t="s">
        <v>150</v>
      </c>
      <c r="M88" s="265">
        <f ca="1">R30</f>
        <v>2308.8755229303997</v>
      </c>
      <c r="N88" s="186" t="s">
        <v>151</v>
      </c>
      <c r="O88" s="265">
        <f ca="1">0.8*M81</f>
        <v>33535.438494068352</v>
      </c>
      <c r="P88" s="293">
        <f t="shared" ca="1" si="17"/>
        <v>14.524576210806522</v>
      </c>
      <c r="Q88" s="185" t="str">
        <f t="shared" ca="1" si="18"/>
        <v>PASS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customHeight="1">
      <c r="A89" s="357"/>
      <c r="J89" s="359"/>
      <c r="K89" s="185"/>
      <c r="L89" s="186" t="s">
        <v>191</v>
      </c>
      <c r="M89" s="185">
        <f>M55</f>
        <v>17031.7824</v>
      </c>
      <c r="N89" s="186" t="s">
        <v>192</v>
      </c>
      <c r="O89" s="265">
        <f>0.9*Q58</f>
        <v>124781.17441834642</v>
      </c>
      <c r="P89" s="293">
        <f t="shared" si="17"/>
        <v>7.3263720430309407</v>
      </c>
      <c r="Q89" s="185" t="str">
        <f t="shared" si="18"/>
        <v>PASS</v>
      </c>
      <c r="R89" s="185" t="str">
        <f>IF(M67&gt;30,"Includes Slender Provisons","No Slender Provisions")</f>
        <v>No Slender Provisions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customHeight="1">
      <c r="A90" s="357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>
        <f>M5*(Q3^2)/6</f>
        <v>732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customHeight="1">
      <c r="A91" s="357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>
        <f>Y89*Y90/12</f>
        <v>12200</v>
      </c>
      <c r="Z91" s="185" t="s">
        <v>235</v>
      </c>
      <c r="AA91" s="185" t="s">
        <v>256</v>
      </c>
      <c r="AB91" s="185" t="str">
        <f>IF(Y86/0.9&gt;=1.3*Y91,"PASS","FAIL")</f>
        <v>PASS</v>
      </c>
      <c r="AC91" s="185" t="str">
        <f>IF(AB91="Pass","---","Increase reinforcing or depth")</f>
        <v>---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customHeight="1">
      <c r="A92" s="357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91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customHeight="1">
      <c r="A93" s="357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91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customHeight="1">
      <c r="A94" s="357"/>
      <c r="J94" s="359"/>
      <c r="K94" s="373"/>
      <c r="L94" s="429" t="s">
        <v>295</v>
      </c>
      <c r="M94" s="430">
        <f ca="1">S21+S22</f>
        <v>261.392</v>
      </c>
      <c r="N94" s="427"/>
      <c r="O94" s="428" t="s">
        <v>295</v>
      </c>
      <c r="P94" s="427">
        <f>S19+S20</f>
        <v>200</v>
      </c>
      <c r="Q94" s="428"/>
      <c r="R94" s="428"/>
      <c r="S94" s="428"/>
      <c r="T94" s="191"/>
      <c r="U94" s="185"/>
      <c r="V94" s="185"/>
      <c r="W94" s="188"/>
      <c r="X94" s="186" t="s">
        <v>167</v>
      </c>
      <c r="Y94" s="431">
        <f>0.64*M10/(U10*1000)*(0.0025/(1.5*U10/29000+0.0025))*M5*Q3</f>
        <v>1.7417846153846153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customHeight="1">
      <c r="A95" s="357"/>
      <c r="J95" s="359"/>
      <c r="K95" s="373"/>
      <c r="L95" s="429" t="s">
        <v>296</v>
      </c>
      <c r="M95" s="432">
        <f>M8</f>
        <v>17.665999899999999</v>
      </c>
      <c r="N95" s="427"/>
      <c r="O95" s="428" t="s">
        <v>297</v>
      </c>
      <c r="P95" s="427">
        <f>S19+S20</f>
        <v>200</v>
      </c>
      <c r="Q95" s="428"/>
      <c r="R95" s="428"/>
      <c r="S95" s="428"/>
      <c r="T95" s="191"/>
      <c r="U95" s="185"/>
      <c r="V95" s="185"/>
      <c r="W95" s="188"/>
      <c r="X95" s="185"/>
      <c r="Y95" s="185"/>
      <c r="Z95" s="185"/>
      <c r="AA95" s="185" t="s">
        <v>256</v>
      </c>
      <c r="AB95" s="185" t="str">
        <f>IF(Y83&lt;Y94,"PASS","FAIL")</f>
        <v>PASS</v>
      </c>
      <c r="AC95" s="185" t="str">
        <f>IF(AB95="PASS","---","Reduce reinf or increase depth")</f>
        <v>---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customHeight="1">
      <c r="A96" s="357"/>
      <c r="J96" s="359"/>
      <c r="K96" s="373"/>
      <c r="L96" s="429" t="s">
        <v>199</v>
      </c>
      <c r="M96" s="432">
        <f>M4-M8</f>
        <v>1.0000000116860974E-7</v>
      </c>
      <c r="N96" s="427"/>
      <c r="O96" s="427"/>
      <c r="P96" s="427"/>
      <c r="Q96" s="428"/>
      <c r="R96" s="428"/>
      <c r="S96" s="428"/>
      <c r="T96" s="191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customHeight="1">
      <c r="A97" s="357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91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customHeight="1">
      <c r="A98" s="357"/>
      <c r="J98" s="359"/>
      <c r="K98" s="373"/>
      <c r="L98" s="429" t="s">
        <v>300</v>
      </c>
      <c r="M98" s="433">
        <f ca="1">M94*($M$95+$M$96)^2/(2*$M$95)</f>
        <v>2308.8755490696003</v>
      </c>
      <c r="N98" s="427"/>
      <c r="O98" s="428" t="s">
        <v>300</v>
      </c>
      <c r="P98" s="433">
        <f>P94*($M$95+$M$96)^2/(2*$M$95)+P95*M96*(2*M95+M96)/(2*M95)</f>
        <v>1766.6000300000003</v>
      </c>
      <c r="Q98" s="428"/>
      <c r="R98" s="428"/>
      <c r="S98" s="428"/>
      <c r="T98" s="191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customHeight="1">
      <c r="A99" s="357"/>
      <c r="J99" s="359"/>
      <c r="K99" s="373"/>
      <c r="L99" s="429" t="s">
        <v>302</v>
      </c>
      <c r="M99" s="433">
        <f ca="1">M94*($M$95^2-$M$96^2)/(2*$M$95)</f>
        <v>2308.8755229303997</v>
      </c>
      <c r="N99" s="427"/>
      <c r="O99" s="428" t="s">
        <v>302</v>
      </c>
      <c r="P99" s="433">
        <f>P94*($M$95^2-$M$96^2)/(2*$M$95)-P95*M96^2/(2*M95)</f>
        <v>1766.5999900000002</v>
      </c>
      <c r="Q99" s="428"/>
      <c r="R99" s="428"/>
      <c r="S99" s="428"/>
      <c r="T99" s="191"/>
      <c r="U99" s="185"/>
      <c r="V99" s="185"/>
      <c r="W99" s="188"/>
      <c r="X99" s="211" t="s">
        <v>303</v>
      </c>
      <c r="Y99" s="404">
        <f>Y82*SQRT(2*Y98*Y83/(M5*Y82)+(Y98*Y83/(M5*Y82))^2)-Y98*Y83/(M5*Y82)</f>
        <v>7.2909164456104696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customHeight="1">
      <c r="A100" s="357"/>
      <c r="J100" s="359"/>
      <c r="K100" s="373"/>
      <c r="L100" s="429" t="s">
        <v>304</v>
      </c>
      <c r="M100" s="433">
        <f ca="1">M94*(M95+M96)</f>
        <v>4617.751072</v>
      </c>
      <c r="N100" s="427"/>
      <c r="O100" s="428" t="s">
        <v>304</v>
      </c>
      <c r="P100" s="434">
        <f>P94*(M95+M96)+P95*M96</f>
        <v>3533.2000200000007</v>
      </c>
      <c r="Q100" s="428"/>
      <c r="R100" s="428"/>
      <c r="S100" s="428"/>
      <c r="T100" s="191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customHeight="1">
      <c r="A101" s="357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91"/>
      <c r="U101" s="185"/>
      <c r="V101" s="185"/>
      <c r="W101" s="188"/>
      <c r="X101" s="186" t="s">
        <v>305</v>
      </c>
      <c r="Y101" s="265">
        <f>M5*(Q3^3)/12</f>
        <v>8784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customHeight="1">
      <c r="A102" s="357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91"/>
      <c r="U102" s="185"/>
      <c r="V102" s="185"/>
      <c r="W102" s="188"/>
      <c r="X102" s="186" t="s">
        <v>308</v>
      </c>
      <c r="Y102" s="265">
        <f>M5*(Y99^3)/3+Y98*Y83*(Y82-Y99)^2</f>
        <v>2598.4785274164619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customHeight="1">
      <c r="A103" s="357"/>
      <c r="J103" s="359"/>
      <c r="K103" s="373"/>
      <c r="L103" s="436">
        <v>1</v>
      </c>
      <c r="M103" s="436">
        <v>0</v>
      </c>
      <c r="N103" s="437">
        <f ca="1">M99</f>
        <v>2308.8755229303997</v>
      </c>
      <c r="O103" s="437">
        <f>P99</f>
        <v>1766.5999900000002</v>
      </c>
      <c r="P103" s="437"/>
      <c r="Q103" s="437"/>
      <c r="R103" s="437"/>
      <c r="S103" s="428"/>
      <c r="T103" s="191"/>
      <c r="U103" s="185"/>
      <c r="V103" s="185"/>
      <c r="W103" s="188"/>
      <c r="X103" s="186" t="s">
        <v>309</v>
      </c>
      <c r="Y103" s="362">
        <f>(Y91/AB51)^3*Y101+(1-(Y91/AB51)^3)*Y102</f>
        <v>2931.8061592514391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customHeight="1">
      <c r="A104" s="357"/>
      <c r="J104" s="359"/>
      <c r="K104" s="373"/>
      <c r="L104" s="436">
        <v>2</v>
      </c>
      <c r="M104" s="438">
        <f>M95</f>
        <v>17.665999899999999</v>
      </c>
      <c r="N104" s="437">
        <f ca="1">N103-M94*M95</f>
        <v>-2308.8755229303997</v>
      </c>
      <c r="O104" s="437">
        <f>O103-P94*M95</f>
        <v>-1766.5999899999997</v>
      </c>
      <c r="P104" s="437"/>
      <c r="Q104" s="437"/>
      <c r="R104" s="437"/>
      <c r="S104" s="428"/>
      <c r="T104" s="191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customHeight="1">
      <c r="A105" s="357"/>
      <c r="J105" s="359"/>
      <c r="K105" s="373"/>
      <c r="L105" s="436">
        <v>3</v>
      </c>
      <c r="M105" s="438">
        <f>M95</f>
        <v>17.665999899999999</v>
      </c>
      <c r="N105" s="437">
        <f ca="1">M94*M96</f>
        <v>2.6139200305465236E-5</v>
      </c>
      <c r="O105" s="437">
        <f>P94*M96+P95*M96</f>
        <v>4.0000000467443897E-5</v>
      </c>
      <c r="P105" s="437"/>
      <c r="Q105" s="437"/>
      <c r="R105" s="437"/>
      <c r="S105" s="428"/>
      <c r="T105" s="191"/>
      <c r="U105" s="185"/>
      <c r="V105" s="185"/>
      <c r="W105" s="188"/>
      <c r="X105" s="186" t="s">
        <v>163</v>
      </c>
      <c r="Y105" s="175">
        <f>M7*12/600</f>
        <v>0.24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customHeight="1">
      <c r="A106" s="357"/>
      <c r="J106" s="359"/>
      <c r="K106" s="373"/>
      <c r="L106" s="436">
        <v>4</v>
      </c>
      <c r="M106" s="438">
        <f>M95+M96</f>
        <v>17.666</v>
      </c>
      <c r="N106" s="437">
        <v>0</v>
      </c>
      <c r="O106" s="437">
        <v>0</v>
      </c>
      <c r="P106" s="437"/>
      <c r="Q106" s="437"/>
      <c r="R106" s="437"/>
      <c r="S106" s="428"/>
      <c r="T106" s="191"/>
      <c r="U106" s="185"/>
      <c r="V106" s="185"/>
      <c r="W106" s="188"/>
      <c r="X106" s="186" t="s">
        <v>162</v>
      </c>
      <c r="Y106" s="320">
        <f>(5*AB49/12*(M7*12)^4)/(384*900*M10*Y103)</f>
        <v>0.11655435122192666</v>
      </c>
      <c r="Z106" s="185" t="s">
        <v>82</v>
      </c>
      <c r="AA106" s="185" t="s">
        <v>256</v>
      </c>
      <c r="AB106" s="185" t="str">
        <f>IF(Y106&lt;Y105,"PASS","FAIL")</f>
        <v>PASS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customHeight="1">
      <c r="A107" s="357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91"/>
      <c r="U107" s="185"/>
      <c r="V107" s="185"/>
      <c r="W107" s="188"/>
      <c r="X107" s="186" t="s">
        <v>310</v>
      </c>
      <c r="Y107" s="362">
        <f>Y40*12/Y106</f>
        <v>1441.3876293654423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customHeight="1">
      <c r="A108" s="357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91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customHeight="1">
      <c r="A109" s="357"/>
      <c r="J109" s="359"/>
      <c r="K109" s="439"/>
      <c r="L109" s="436" t="s">
        <v>312</v>
      </c>
      <c r="M109" s="438">
        <f>(M95/2)*(1-M96^2/M95^2)</f>
        <v>8.8329999499999996</v>
      </c>
      <c r="N109" s="437">
        <f ca="1">M94*(M95+M96)^2*(M95-M96)^2/(8*M95^2)</f>
        <v>10197.148689300222</v>
      </c>
      <c r="O109" s="437">
        <f>P94*(M95+M96)^2*(M95-M96)^2/(8*M95^2)-P95*M96^2*M109/(2*M95)</f>
        <v>7802.1888116699974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customHeight="1">
      <c r="A110" s="357"/>
      <c r="B110" s="357"/>
      <c r="C110" s="440"/>
      <c r="D110" s="440"/>
      <c r="E110" s="440"/>
      <c r="F110" s="440"/>
      <c r="G110" s="359"/>
      <c r="H110" s="359"/>
      <c r="I110" s="359"/>
      <c r="J110" s="359"/>
      <c r="K110" s="439"/>
      <c r="L110" s="436" t="s">
        <v>313</v>
      </c>
      <c r="M110" s="438">
        <f>M95</f>
        <v>17.665999899999999</v>
      </c>
      <c r="N110" s="437">
        <f ca="1">-M94*M96^2/2</f>
        <v>-1.306960030546524E-12</v>
      </c>
      <c r="O110" s="437">
        <f>-P94*M96^2/2-P95*M96^2/2</f>
        <v>-2.00000004674439E-12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customHeight="1">
      <c r="A111" s="357"/>
      <c r="B111" s="357"/>
      <c r="C111" s="440"/>
      <c r="D111" s="440"/>
      <c r="E111" s="440"/>
      <c r="F111" s="440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customHeight="1">
      <c r="A112" s="357"/>
      <c r="B112" s="357"/>
      <c r="C112" s="440"/>
      <c r="D112" s="440"/>
      <c r="E112" s="440"/>
      <c r="F112" s="440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customHeight="1">
      <c r="A113" s="357"/>
      <c r="B113" s="357"/>
      <c r="C113" s="440"/>
      <c r="D113" s="440"/>
      <c r="E113" s="440"/>
      <c r="F113" s="440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customHeight="1">
      <c r="A114" s="357"/>
      <c r="B114" s="357"/>
      <c r="C114" s="440"/>
      <c r="D114" s="440"/>
      <c r="E114" s="440"/>
      <c r="F114" s="440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customHeight="1">
      <c r="A115" s="357"/>
      <c r="B115" s="357"/>
      <c r="C115" s="440"/>
      <c r="D115" s="440"/>
      <c r="E115" s="440"/>
      <c r="F115" s="440"/>
      <c r="G115" s="359"/>
      <c r="H115" s="359"/>
      <c r="I115" s="359"/>
      <c r="J115" s="359"/>
      <c r="K115" s="439"/>
      <c r="L115" s="429" t="s">
        <v>315</v>
      </c>
      <c r="M115" s="430">
        <f t="shared" ref="M115:M116" ca="1" si="19">S21</f>
        <v>65.347999999999999</v>
      </c>
      <c r="N115" s="427"/>
      <c r="O115" s="428" t="s">
        <v>315</v>
      </c>
      <c r="P115" s="427">
        <f t="shared" ref="P115:P116" si="20">S19</f>
        <v>50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customHeight="1">
      <c r="A116" s="357"/>
      <c r="B116" s="357"/>
      <c r="C116" s="440"/>
      <c r="D116" s="440"/>
      <c r="E116" s="440"/>
      <c r="F116" s="440"/>
      <c r="G116" s="359"/>
      <c r="H116" s="359"/>
      <c r="I116" s="359"/>
      <c r="J116" s="359"/>
      <c r="K116" s="439"/>
      <c r="L116" s="429" t="s">
        <v>316</v>
      </c>
      <c r="M116" s="430">
        <f t="shared" ca="1" si="19"/>
        <v>196.04399999999998</v>
      </c>
      <c r="N116" s="427"/>
      <c r="O116" s="428" t="s">
        <v>316</v>
      </c>
      <c r="P116" s="427">
        <f t="shared" si="20"/>
        <v>150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customHeight="1">
      <c r="A117" s="357"/>
      <c r="B117" s="357"/>
      <c r="C117" s="440"/>
      <c r="D117" s="440"/>
      <c r="E117" s="440"/>
      <c r="F117" s="440"/>
      <c r="G117" s="359"/>
      <c r="H117" s="359"/>
      <c r="I117" s="359"/>
      <c r="J117" s="359"/>
      <c r="K117" s="439"/>
      <c r="L117" s="429" t="s">
        <v>296</v>
      </c>
      <c r="M117" s="432">
        <f>M8</f>
        <v>17.665999899999999</v>
      </c>
      <c r="N117" s="427"/>
      <c r="O117" s="428" t="s">
        <v>317</v>
      </c>
      <c r="P117" s="427">
        <f>P95</f>
        <v>200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customHeight="1">
      <c r="A118" s="357"/>
      <c r="B118" s="357"/>
      <c r="C118" s="440"/>
      <c r="D118" s="440"/>
      <c r="E118" s="440"/>
      <c r="F118" s="440"/>
      <c r="G118" s="359"/>
      <c r="H118" s="359"/>
      <c r="I118" s="359"/>
      <c r="J118" s="359"/>
      <c r="K118" s="439"/>
      <c r="L118" s="429" t="s">
        <v>199</v>
      </c>
      <c r="M118" s="432">
        <f>M4-M8</f>
        <v>1.0000000116860974E-7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customHeight="1">
      <c r="A119" s="357"/>
      <c r="B119" s="357"/>
      <c r="C119" s="440"/>
      <c r="D119" s="440"/>
      <c r="E119" s="440"/>
      <c r="F119" s="440"/>
      <c r="G119" s="359"/>
      <c r="H119" s="359"/>
      <c r="I119" s="359"/>
      <c r="J119" s="359"/>
      <c r="K119" s="439"/>
      <c r="L119" s="429" t="s">
        <v>202</v>
      </c>
      <c r="M119" s="432">
        <f>M8-M6</f>
        <v>3.6659998999999992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customHeight="1">
      <c r="A120" s="357"/>
      <c r="B120" s="357"/>
      <c r="C120" s="440"/>
      <c r="D120" s="440"/>
      <c r="E120" s="440"/>
      <c r="F120" s="440"/>
      <c r="G120" s="359"/>
      <c r="H120" s="359"/>
      <c r="I120" s="359"/>
      <c r="J120" s="359"/>
      <c r="K120" s="439"/>
      <c r="L120" s="429" t="s">
        <v>208</v>
      </c>
      <c r="M120" s="432">
        <f>M118+M119</f>
        <v>3.6660000000000004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customHeight="1">
      <c r="A121" s="357"/>
      <c r="B121" s="357"/>
      <c r="C121" s="440"/>
      <c r="D121" s="440"/>
      <c r="E121" s="440"/>
      <c r="F121" s="440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customHeight="1">
      <c r="A122" s="357"/>
      <c r="B122" s="357"/>
      <c r="C122" s="440"/>
      <c r="D122" s="440"/>
      <c r="E122" s="440"/>
      <c r="F122" s="440"/>
      <c r="G122" s="359"/>
      <c r="H122" s="359"/>
      <c r="I122" s="359"/>
      <c r="J122" s="359"/>
      <c r="K122" s="439"/>
      <c r="L122" s="429" t="s">
        <v>300</v>
      </c>
      <c r="M122" s="433">
        <f ca="1">(M115*($M$117+$M$118)^2/2+M116*$M$120*($M$117-$M$119+$M$120/2))/$M$117</f>
        <v>1221.3451455400495</v>
      </c>
      <c r="N122" s="427"/>
      <c r="O122" s="428" t="s">
        <v>300</v>
      </c>
      <c r="P122" s="433">
        <f>(P115*($M$117+$M$118)^2/2+P116*$M$120*($M$117-$M$119+$M$120/2)+P117*M118*(M117+M118/2))/$M$117</f>
        <v>934.49315333235143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customHeight="1">
      <c r="A123" s="357"/>
      <c r="B123" s="357"/>
      <c r="C123" s="440"/>
      <c r="D123" s="440"/>
      <c r="E123" s="440"/>
      <c r="F123" s="440"/>
      <c r="G123" s="359"/>
      <c r="H123" s="359"/>
      <c r="I123" s="359"/>
      <c r="J123" s="359"/>
      <c r="K123" s="439"/>
      <c r="L123" s="429" t="s">
        <v>302</v>
      </c>
      <c r="M123" s="433">
        <f ca="1">M124-M122</f>
        <v>651.78992645995049</v>
      </c>
      <c r="N123" s="427">
        <f ca="1">(M115*(M117+M118)*(M117-(M117+M118)/2)-M116*M120*(M118-M120/2))/M117</f>
        <v>651.78992645995049</v>
      </c>
      <c r="O123" s="428" t="s">
        <v>302</v>
      </c>
      <c r="P123" s="433">
        <f>P124-P122</f>
        <v>498.70686666764902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customHeight="1">
      <c r="A124" s="357"/>
      <c r="B124" s="357"/>
      <c r="C124" s="440"/>
      <c r="D124" s="440"/>
      <c r="E124" s="440"/>
      <c r="F124" s="440"/>
      <c r="G124" s="359"/>
      <c r="H124" s="359"/>
      <c r="I124" s="359"/>
      <c r="J124" s="359"/>
      <c r="K124" s="439"/>
      <c r="L124" s="429" t="s">
        <v>304</v>
      </c>
      <c r="M124" s="433">
        <f ca="1">M115*(M117+M118)+M116*M120</f>
        <v>1873.135072</v>
      </c>
      <c r="N124" s="427"/>
      <c r="O124" s="428" t="s">
        <v>304</v>
      </c>
      <c r="P124" s="433">
        <f>P115*(M117+M118)+P116*M120+P117*M118</f>
        <v>1433.2000200000004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customHeight="1">
      <c r="A125" s="357"/>
      <c r="B125" s="357"/>
      <c r="C125" s="440"/>
      <c r="D125" s="440"/>
      <c r="E125" s="440"/>
      <c r="F125" s="440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customHeight="1">
      <c r="A126" s="357"/>
      <c r="B126" s="357"/>
      <c r="C126" s="440"/>
      <c r="D126" s="440"/>
      <c r="E126" s="440"/>
      <c r="F126" s="440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customHeight="1">
      <c r="A127" s="357"/>
      <c r="B127" s="357"/>
      <c r="C127" s="440"/>
      <c r="D127" s="440"/>
      <c r="E127" s="440"/>
      <c r="F127" s="440"/>
      <c r="G127" s="359"/>
      <c r="H127" s="359"/>
      <c r="I127" s="359"/>
      <c r="J127" s="359"/>
      <c r="K127" s="439"/>
      <c r="L127" s="436">
        <v>1</v>
      </c>
      <c r="M127" s="436">
        <v>0</v>
      </c>
      <c r="N127" s="437">
        <f ca="1">M123</f>
        <v>651.78992645995049</v>
      </c>
      <c r="O127" s="437">
        <f>P123</f>
        <v>498.70686666764902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customHeight="1">
      <c r="A128" s="357"/>
      <c r="B128" s="357"/>
      <c r="C128" s="440"/>
      <c r="D128" s="440"/>
      <c r="E128" s="440"/>
      <c r="F128" s="440"/>
      <c r="G128" s="359"/>
      <c r="H128" s="359"/>
      <c r="I128" s="359"/>
      <c r="J128" s="359"/>
      <c r="K128" s="439"/>
      <c r="L128" s="436">
        <v>2</v>
      </c>
      <c r="M128" s="438">
        <f>M117-M119</f>
        <v>14</v>
      </c>
      <c r="N128" s="437">
        <f ca="1">N127-M115*M128</f>
        <v>-263.08207354004946</v>
      </c>
      <c r="O128" s="437">
        <f>O127-P115*M128</f>
        <v>-201.29313333235098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customHeight="1">
      <c r="A129" s="357"/>
      <c r="B129" s="357"/>
      <c r="C129" s="440"/>
      <c r="D129" s="440"/>
      <c r="E129" s="440"/>
      <c r="F129" s="440"/>
      <c r="G129" s="359"/>
      <c r="H129" s="359"/>
      <c r="I129" s="359"/>
      <c r="J129" s="359"/>
      <c r="K129" s="439"/>
      <c r="L129" s="436">
        <v>3</v>
      </c>
      <c r="M129" s="438">
        <f>M117</f>
        <v>17.665999899999999</v>
      </c>
      <c r="N129" s="437">
        <f ca="1">N128-(M115+M116)*M119</f>
        <v>-1221.3451194008494</v>
      </c>
      <c r="O129" s="437">
        <f>O128-(P115+P116)*M119</f>
        <v>-934.49311333235084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customHeight="1">
      <c r="A130" s="357"/>
      <c r="B130" s="357"/>
      <c r="C130" s="440"/>
      <c r="D130" s="440"/>
      <c r="E130" s="440"/>
      <c r="F130" s="440"/>
      <c r="G130" s="359"/>
      <c r="H130" s="359"/>
      <c r="I130" s="359"/>
      <c r="J130" s="359"/>
      <c r="K130" s="439"/>
      <c r="L130" s="436">
        <v>4</v>
      </c>
      <c r="M130" s="438">
        <f>M117</f>
        <v>17.665999899999999</v>
      </c>
      <c r="N130" s="437">
        <f ca="1">N129+M122</f>
        <v>2.6139200144825736E-5</v>
      </c>
      <c r="O130" s="437">
        <f>O129+P122</f>
        <v>4.0000000581130735E-5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customHeight="1">
      <c r="A131" s="357"/>
      <c r="B131" s="357"/>
      <c r="C131" s="440"/>
      <c r="D131" s="440"/>
      <c r="E131" s="440"/>
      <c r="F131" s="440"/>
      <c r="G131" s="359"/>
      <c r="H131" s="359"/>
      <c r="I131" s="359"/>
      <c r="J131" s="359"/>
      <c r="K131" s="439"/>
      <c r="L131" s="436"/>
      <c r="M131" s="438">
        <f>M117+M118</f>
        <v>17.666</v>
      </c>
      <c r="N131" s="437">
        <f ca="1">N130-(M115+M116)*M118</f>
        <v>-1.6063950029118063E-13</v>
      </c>
      <c r="O131" s="437">
        <f>O130-(P115+P116+P117)*M118</f>
        <v>1.1368683772161603E-13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customHeight="1">
      <c r="A132" s="357"/>
      <c r="B132" s="357"/>
      <c r="C132" s="440"/>
      <c r="D132" s="440"/>
      <c r="E132" s="440"/>
      <c r="F132" s="440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customHeight="1">
      <c r="A133" s="357"/>
      <c r="B133" s="357"/>
      <c r="C133" s="440"/>
      <c r="D133" s="440"/>
      <c r="E133" s="440"/>
      <c r="F133" s="440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customHeight="1">
      <c r="A134" s="357"/>
      <c r="B134" s="357"/>
      <c r="C134" s="440"/>
      <c r="D134" s="440"/>
      <c r="E134" s="440"/>
      <c r="F134" s="440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customHeight="1">
      <c r="A135" s="357"/>
      <c r="B135" s="357"/>
      <c r="C135" s="440"/>
      <c r="D135" s="440"/>
      <c r="E135" s="440"/>
      <c r="F135" s="440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customHeight="1">
      <c r="A136" s="357"/>
      <c r="B136" s="357"/>
      <c r="C136" s="440"/>
      <c r="D136" s="440"/>
      <c r="E136" s="440"/>
      <c r="F136" s="440"/>
      <c r="G136" s="359"/>
      <c r="H136" s="359"/>
      <c r="I136" s="359"/>
      <c r="J136" s="359"/>
      <c r="K136" s="439"/>
      <c r="L136" s="436" t="s">
        <v>318</v>
      </c>
      <c r="M136" s="438">
        <f ca="1">M123/M115</f>
        <v>9.9741373333529797</v>
      </c>
      <c r="N136" s="437">
        <f ca="1">N127*M136/2</f>
        <v>3250.5211195037928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customHeight="1">
      <c r="A137" s="357"/>
      <c r="B137" s="357"/>
      <c r="C137" s="440"/>
      <c r="D137" s="440"/>
      <c r="E137" s="440"/>
      <c r="F137" s="440"/>
      <c r="G137" s="359"/>
      <c r="H137" s="359"/>
      <c r="I137" s="359"/>
      <c r="J137" s="359"/>
      <c r="K137" s="439"/>
      <c r="L137" s="436" t="s">
        <v>319</v>
      </c>
      <c r="M137" s="438">
        <f>P123/P115</f>
        <v>9.9741373333529797</v>
      </c>
      <c r="N137" s="437" t="s">
        <v>144</v>
      </c>
      <c r="O137" s="437">
        <f>P123*M137/2</f>
        <v>2487.0853886146424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customHeight="1">
      <c r="A138" s="357"/>
      <c r="B138" s="357"/>
      <c r="C138" s="440"/>
      <c r="D138" s="440"/>
      <c r="E138" s="440"/>
      <c r="F138" s="440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14</v>
      </c>
      <c r="N138" s="437">
        <f ca="1">N136+N128*(M138-M136)/2</f>
        <v>2720.9549704393071</v>
      </c>
      <c r="O138" s="437">
        <f>O137+O128*(M138-M137)/2</f>
        <v>2081.8961333470861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customHeight="1">
      <c r="A139" s="357"/>
      <c r="B139" s="357"/>
      <c r="C139" s="440"/>
      <c r="D139" s="440"/>
      <c r="E139" s="440"/>
      <c r="F139" s="440"/>
      <c r="G139" s="359"/>
      <c r="H139" s="359"/>
      <c r="I139" s="359"/>
      <c r="J139" s="359"/>
      <c r="K139" s="439"/>
      <c r="L139" s="436">
        <v>4</v>
      </c>
      <c r="M139" s="438">
        <f t="shared" si="21"/>
        <v>17.665999899999999</v>
      </c>
      <c r="N139" s="437">
        <f ca="1">N138+(N129-N128)*M119/2+N128*M119</f>
        <v>0</v>
      </c>
      <c r="O139" s="437">
        <f>O138+(O129-O128)*M119/2+O128*M119</f>
        <v>0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customHeight="1">
      <c r="A140" s="357"/>
      <c r="B140" s="357"/>
      <c r="C140" s="440"/>
      <c r="D140" s="440"/>
      <c r="E140" s="440"/>
      <c r="F140" s="440"/>
      <c r="G140" s="359"/>
      <c r="H140" s="359"/>
      <c r="I140" s="359"/>
      <c r="J140" s="359"/>
      <c r="K140" s="439"/>
      <c r="L140" s="436">
        <v>5</v>
      </c>
      <c r="M140" s="438">
        <f>M131</f>
        <v>17.666</v>
      </c>
      <c r="N140" s="437">
        <f ca="1">N139+N130*M118/2</f>
        <v>1.3069600225145488E-12</v>
      </c>
      <c r="O140" s="437">
        <f>O139+O130*M118/2</f>
        <v>2.0000000524287319E-12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customHeight="1">
      <c r="A141" s="357"/>
      <c r="B141" s="357"/>
      <c r="C141" s="440"/>
      <c r="D141" s="440"/>
      <c r="E141" s="440"/>
      <c r="F141" s="440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customHeight="1">
      <c r="A142" s="357"/>
      <c r="B142" s="357"/>
      <c r="C142" s="440"/>
      <c r="D142" s="440"/>
      <c r="E142" s="440"/>
      <c r="F142" s="440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customHeight="1">
      <c r="A143" s="357"/>
      <c r="B143" s="357"/>
      <c r="C143" s="440"/>
      <c r="D143" s="440"/>
      <c r="E143" s="440"/>
      <c r="F143" s="440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customHeight="1">
      <c r="A144" s="357"/>
      <c r="B144" s="357"/>
      <c r="C144" s="440"/>
      <c r="D144" s="440"/>
      <c r="E144" s="440"/>
      <c r="F144" s="440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customHeight="1">
      <c r="A145" s="357"/>
      <c r="B145" s="357"/>
      <c r="C145" s="440"/>
      <c r="D145" s="440"/>
      <c r="E145" s="440"/>
      <c r="F145" s="440"/>
      <c r="G145" s="359"/>
      <c r="H145" s="359"/>
      <c r="I145" s="359"/>
      <c r="J145" s="359"/>
      <c r="K145" s="439"/>
      <c r="L145" s="450" t="s">
        <v>328</v>
      </c>
      <c r="M145" s="451">
        <f ca="1">M94*M95^2/8</f>
        <v>10197.148689300222</v>
      </c>
      <c r="N145" s="451">
        <f>P94*M95^2/8</f>
        <v>7802.1888116700002</v>
      </c>
      <c r="O145" s="451">
        <f ca="1">M115*M95^2/8+(M116*M119*(2*M117-M119)/(2*M117))^2/(2*M116)</f>
        <v>3607.4644471738306</v>
      </c>
      <c r="P145" s="451">
        <f>P115*M95^2/8+(P116*M119*(2*M117-M119)/(2*M117))^2/(2*P116)</f>
        <v>2760.1949923286338</v>
      </c>
      <c r="Q145" s="452">
        <f ca="1">MAX(M145:N146)</f>
        <v>10197.148689300222</v>
      </c>
      <c r="R145" s="452">
        <f ca="1">MAX(O145:P146)</f>
        <v>3607.4644471738306</v>
      </c>
      <c r="S145" s="452">
        <f ca="1">IF($M$142=TRUE,Q145,R145)</f>
        <v>10197.148689300222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customHeight="1">
      <c r="A146" s="357"/>
      <c r="B146" s="357"/>
      <c r="C146" s="440"/>
      <c r="D146" s="440"/>
      <c r="E146" s="440"/>
      <c r="F146" s="440"/>
      <c r="G146" s="359"/>
      <c r="H146" s="359"/>
      <c r="I146" s="359"/>
      <c r="J146" s="359"/>
      <c r="K146" s="439"/>
      <c r="L146" s="450" t="s">
        <v>329</v>
      </c>
      <c r="M146" s="451">
        <f t="shared" ref="M146:N146" ca="1" si="22">N109</f>
        <v>10197.148689300222</v>
      </c>
      <c r="N146" s="451">
        <f t="shared" si="22"/>
        <v>7802.1888116699974</v>
      </c>
      <c r="O146" s="451">
        <f t="shared" ref="O146:P146" ca="1" si="23">MAX(N135:N140)</f>
        <v>3250.5211195037928</v>
      </c>
      <c r="P146" s="451">
        <f t="shared" si="23"/>
        <v>2487.0853886146424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customHeight="1">
      <c r="A147" s="357"/>
      <c r="B147" s="357"/>
      <c r="C147" s="440"/>
      <c r="D147" s="440"/>
      <c r="E147" s="440"/>
      <c r="F147" s="440"/>
      <c r="G147" s="359"/>
      <c r="H147" s="359"/>
      <c r="I147" s="359"/>
      <c r="J147" s="359"/>
      <c r="K147" s="439"/>
      <c r="L147" s="450" t="s">
        <v>330</v>
      </c>
      <c r="M147" s="451">
        <f t="shared" ref="M147:N147" ca="1" si="24">N110</f>
        <v>-1.306960030546524E-12</v>
      </c>
      <c r="N147" s="451">
        <f t="shared" si="24"/>
        <v>-2.00000004674439E-12</v>
      </c>
      <c r="O147" s="451">
        <f t="shared" ref="O147:P147" ca="1" si="25">MIN(N135:N140)</f>
        <v>0</v>
      </c>
      <c r="P147" s="451">
        <f t="shared" si="25"/>
        <v>0</v>
      </c>
      <c r="Q147" s="452">
        <f ca="1">MIN(M147:N147)</f>
        <v>-2.00000004674439E-12</v>
      </c>
      <c r="R147" s="452">
        <f ca="1">MIN(O147:P147)</f>
        <v>0</v>
      </c>
      <c r="S147" s="452">
        <f t="shared" ref="S147:S149" ca="1" si="26">IF($M$142=TRUE,Q147,R147)</f>
        <v>-2.00000004674439E-12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customHeight="1">
      <c r="A148" s="357"/>
      <c r="B148" s="357"/>
      <c r="C148" s="440"/>
      <c r="D148" s="440"/>
      <c r="E148" s="440"/>
      <c r="F148" s="440"/>
      <c r="G148" s="359"/>
      <c r="H148" s="359"/>
      <c r="I148" s="359"/>
      <c r="J148" s="359"/>
      <c r="K148" s="439"/>
      <c r="L148" s="450" t="s">
        <v>331</v>
      </c>
      <c r="M148" s="451">
        <f t="shared" ref="M148:N148" ca="1" si="27">MAX(MAX(N103:N106),ABS(MIN(N103:N106)))</f>
        <v>2308.8755229303997</v>
      </c>
      <c r="N148" s="451">
        <f t="shared" si="27"/>
        <v>1766.5999900000002</v>
      </c>
      <c r="O148" s="451">
        <f t="shared" ref="O148:P148" ca="1" si="28">MAX(MAX(N127:N131),ABS(MIN(N127:N131)))</f>
        <v>1221.3451194008494</v>
      </c>
      <c r="P148" s="451">
        <f t="shared" si="28"/>
        <v>934.49311333235084</v>
      </c>
      <c r="Q148" s="452">
        <f t="shared" ref="Q148:Q149" ca="1" si="29">MAX(M148:N148)</f>
        <v>2308.8755229303997</v>
      </c>
      <c r="R148" s="452">
        <f t="shared" ref="R148:R149" ca="1" si="30">MAX(O148:P148)</f>
        <v>1221.3451194008494</v>
      </c>
      <c r="S148" s="452">
        <f t="shared" ca="1" si="26"/>
        <v>2308.8755229303997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customHeight="1">
      <c r="A149" s="357"/>
      <c r="B149" s="357"/>
      <c r="C149" s="440"/>
      <c r="D149" s="440"/>
      <c r="E149" s="440"/>
      <c r="F149" s="440"/>
      <c r="G149" s="359"/>
      <c r="H149" s="359"/>
      <c r="I149" s="359"/>
      <c r="J149" s="359"/>
      <c r="K149" s="439"/>
      <c r="L149" s="450" t="s">
        <v>332</v>
      </c>
      <c r="M149" s="451">
        <f ca="1">M100</f>
        <v>4617.751072</v>
      </c>
      <c r="N149" s="451">
        <f>P100</f>
        <v>3533.2000200000007</v>
      </c>
      <c r="O149" s="451">
        <f ca="1">M124</f>
        <v>1873.135072</v>
      </c>
      <c r="P149" s="451">
        <f>P124</f>
        <v>1433.2000200000004</v>
      </c>
      <c r="Q149" s="452">
        <f t="shared" ca="1" si="29"/>
        <v>4617.751072</v>
      </c>
      <c r="R149" s="452">
        <f t="shared" ca="1" si="30"/>
        <v>1873.135072</v>
      </c>
      <c r="S149" s="452">
        <f t="shared" ca="1" si="26"/>
        <v>4617.751072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  <row r="150" spans="1:48" ht="12.75" customHeight="1">
      <c r="A150" s="357"/>
      <c r="B150" s="357"/>
      <c r="C150" s="440"/>
      <c r="D150" s="440"/>
      <c r="E150" s="440"/>
      <c r="F150" s="440"/>
      <c r="G150" s="359"/>
      <c r="H150" s="359"/>
      <c r="I150" s="359"/>
      <c r="J150" s="359"/>
      <c r="K150" s="439"/>
      <c r="L150" s="439"/>
      <c r="M150" s="439"/>
      <c r="N150" s="439"/>
      <c r="O150" s="439"/>
      <c r="P150" s="439"/>
      <c r="Q150" s="439"/>
      <c r="R150" s="439"/>
      <c r="S150" s="439"/>
      <c r="T150" s="439"/>
      <c r="U150" s="439"/>
      <c r="V150" s="439"/>
      <c r="W150" s="439"/>
      <c r="X150" s="439"/>
      <c r="Y150" s="439"/>
      <c r="Z150" s="439"/>
      <c r="AA150" s="439"/>
      <c r="AB150" s="439"/>
      <c r="AC150" s="439"/>
      <c r="AD150" s="439"/>
      <c r="AE150" s="439"/>
      <c r="AF150" s="439"/>
      <c r="AG150" s="439"/>
      <c r="AH150" s="439"/>
      <c r="AI150" s="439"/>
      <c r="AJ150" s="439"/>
      <c r="AK150" s="439"/>
      <c r="AL150" s="439"/>
      <c r="AM150" s="439"/>
      <c r="AN150" s="439"/>
      <c r="AO150" s="439"/>
      <c r="AP150" s="439"/>
      <c r="AQ150" s="439"/>
      <c r="AR150" s="439"/>
      <c r="AS150" s="439"/>
      <c r="AT150" s="439"/>
      <c r="AU150" s="439"/>
      <c r="AV150" s="439"/>
    </row>
    <row r="151" spans="1:48" ht="12.75" customHeight="1">
      <c r="A151" s="357"/>
      <c r="B151" s="357"/>
      <c r="C151" s="440"/>
      <c r="D151" s="440"/>
      <c r="E151" s="440"/>
      <c r="F151" s="440"/>
      <c r="G151" s="359"/>
      <c r="H151" s="359"/>
      <c r="I151" s="359"/>
      <c r="J151" s="359"/>
      <c r="K151" s="439"/>
      <c r="L151" s="439"/>
      <c r="M151" s="439"/>
      <c r="N151" s="439"/>
      <c r="O151" s="439"/>
      <c r="P151" s="439"/>
      <c r="Q151" s="439"/>
      <c r="R151" s="439"/>
      <c r="S151" s="439"/>
      <c r="T151" s="439"/>
      <c r="U151" s="439"/>
      <c r="V151" s="439"/>
      <c r="W151" s="439"/>
      <c r="X151" s="439"/>
      <c r="Y151" s="439"/>
      <c r="Z151" s="439"/>
      <c r="AA151" s="439"/>
      <c r="AB151" s="439"/>
      <c r="AC151" s="439"/>
      <c r="AD151" s="439"/>
      <c r="AE151" s="439"/>
      <c r="AF151" s="439"/>
      <c r="AG151" s="439"/>
      <c r="AH151" s="439"/>
      <c r="AI151" s="439"/>
      <c r="AJ151" s="439"/>
      <c r="AK151" s="439"/>
      <c r="AL151" s="439"/>
      <c r="AM151" s="439"/>
      <c r="AN151" s="439"/>
      <c r="AO151" s="439"/>
      <c r="AP151" s="439"/>
      <c r="AQ151" s="439"/>
      <c r="AR151" s="439"/>
      <c r="AS151" s="439"/>
      <c r="AT151" s="439"/>
      <c r="AU151" s="439"/>
      <c r="AV151" s="439"/>
    </row>
    <row r="152" spans="1:48" ht="12.75" customHeight="1">
      <c r="A152" s="357"/>
      <c r="B152" s="357"/>
      <c r="C152" s="440"/>
      <c r="D152" s="440"/>
      <c r="E152" s="440"/>
      <c r="F152" s="440"/>
      <c r="G152" s="359"/>
      <c r="H152" s="359"/>
      <c r="I152" s="359"/>
      <c r="J152" s="359"/>
      <c r="K152" s="439"/>
      <c r="L152" s="439"/>
      <c r="M152" s="439"/>
      <c r="N152" s="439"/>
      <c r="O152" s="439"/>
      <c r="P152" s="439"/>
      <c r="Q152" s="439"/>
      <c r="R152" s="439"/>
      <c r="S152" s="439"/>
      <c r="T152" s="439"/>
      <c r="U152" s="439"/>
      <c r="V152" s="439"/>
      <c r="W152" s="439"/>
      <c r="X152" s="439"/>
      <c r="Y152" s="439"/>
      <c r="Z152" s="439"/>
      <c r="AA152" s="439"/>
      <c r="AB152" s="439"/>
      <c r="AC152" s="439"/>
      <c r="AD152" s="439"/>
      <c r="AE152" s="439"/>
      <c r="AF152" s="439"/>
      <c r="AG152" s="439"/>
      <c r="AH152" s="439"/>
      <c r="AI152" s="439"/>
      <c r="AJ152" s="439"/>
      <c r="AK152" s="439"/>
      <c r="AL152" s="439"/>
      <c r="AM152" s="439"/>
      <c r="AN152" s="439"/>
      <c r="AO152" s="439"/>
      <c r="AP152" s="439"/>
      <c r="AQ152" s="439"/>
      <c r="AR152" s="439"/>
      <c r="AS152" s="439"/>
      <c r="AT152" s="439"/>
      <c r="AU152" s="439"/>
      <c r="AV152" s="439"/>
    </row>
    <row r="153" spans="1:48" ht="12.75" customHeight="1">
      <c r="A153" s="357"/>
      <c r="B153" s="357"/>
      <c r="C153" s="440"/>
      <c r="D153" s="440"/>
      <c r="E153" s="440"/>
      <c r="F153" s="440"/>
      <c r="G153" s="359"/>
      <c r="H153" s="359"/>
      <c r="I153" s="359"/>
      <c r="J153" s="359"/>
      <c r="K153" s="439"/>
      <c r="L153" s="439"/>
      <c r="M153" s="439"/>
      <c r="N153" s="439"/>
      <c r="O153" s="439"/>
      <c r="P153" s="439"/>
      <c r="Q153" s="439"/>
      <c r="R153" s="439"/>
      <c r="S153" s="439"/>
      <c r="T153" s="439"/>
      <c r="U153" s="439"/>
      <c r="V153" s="439"/>
      <c r="W153" s="439"/>
      <c r="X153" s="439"/>
      <c r="Y153" s="439"/>
      <c r="Z153" s="439"/>
      <c r="AA153" s="439"/>
      <c r="AB153" s="439"/>
      <c r="AC153" s="439"/>
      <c r="AD153" s="439"/>
      <c r="AE153" s="439"/>
      <c r="AF153" s="439"/>
      <c r="AG153" s="439"/>
      <c r="AH153" s="439"/>
      <c r="AI153" s="439"/>
      <c r="AJ153" s="439"/>
      <c r="AK153" s="439"/>
      <c r="AL153" s="439"/>
      <c r="AM153" s="439"/>
      <c r="AN153" s="439"/>
      <c r="AO153" s="439"/>
      <c r="AP153" s="439"/>
      <c r="AQ153" s="439"/>
      <c r="AR153" s="439"/>
      <c r="AS153" s="439"/>
      <c r="AT153" s="439"/>
      <c r="AU153" s="439"/>
      <c r="AV153" s="439"/>
    </row>
    <row r="154" spans="1:48" ht="12.75" customHeight="1">
      <c r="A154" s="357"/>
      <c r="B154" s="357"/>
      <c r="C154" s="440"/>
      <c r="D154" s="440"/>
      <c r="E154" s="440"/>
      <c r="F154" s="440"/>
      <c r="G154" s="359"/>
      <c r="H154" s="359"/>
      <c r="I154" s="359"/>
      <c r="J154" s="359"/>
      <c r="K154" s="439"/>
      <c r="L154" s="439"/>
      <c r="M154" s="439"/>
      <c r="N154" s="439"/>
      <c r="O154" s="439"/>
      <c r="P154" s="439"/>
      <c r="Q154" s="439"/>
      <c r="R154" s="439"/>
      <c r="S154" s="439"/>
      <c r="T154" s="439"/>
      <c r="U154" s="439"/>
      <c r="V154" s="439"/>
      <c r="W154" s="439"/>
      <c r="X154" s="439"/>
      <c r="Y154" s="439"/>
      <c r="Z154" s="439"/>
      <c r="AA154" s="439"/>
      <c r="AB154" s="439"/>
      <c r="AC154" s="439"/>
      <c r="AD154" s="439"/>
      <c r="AE154" s="439"/>
      <c r="AF154" s="439"/>
      <c r="AG154" s="439"/>
      <c r="AH154" s="439"/>
      <c r="AI154" s="439"/>
      <c r="AJ154" s="439"/>
      <c r="AK154" s="439"/>
      <c r="AL154" s="439"/>
      <c r="AM154" s="439"/>
      <c r="AN154" s="439"/>
      <c r="AO154" s="439"/>
      <c r="AP154" s="439"/>
      <c r="AQ154" s="439"/>
      <c r="AR154" s="439"/>
      <c r="AS154" s="439"/>
      <c r="AT154" s="439"/>
      <c r="AU154" s="439"/>
      <c r="AV154" s="439"/>
    </row>
    <row r="155" spans="1:48" ht="12.75" customHeight="1">
      <c r="A155" s="357"/>
      <c r="B155" s="357"/>
      <c r="C155" s="440"/>
      <c r="D155" s="440"/>
      <c r="E155" s="440"/>
      <c r="F155" s="440"/>
      <c r="G155" s="359"/>
      <c r="H155" s="359"/>
      <c r="I155" s="359"/>
      <c r="J155" s="359"/>
      <c r="K155" s="439"/>
      <c r="L155" s="439"/>
      <c r="M155" s="439"/>
      <c r="N155" s="439"/>
      <c r="O155" s="439"/>
      <c r="P155" s="439"/>
      <c r="Q155" s="439"/>
      <c r="R155" s="439"/>
      <c r="S155" s="439"/>
      <c r="T155" s="439"/>
      <c r="U155" s="439"/>
      <c r="V155" s="439"/>
      <c r="W155" s="439"/>
      <c r="X155" s="439"/>
      <c r="Y155" s="439"/>
      <c r="Z155" s="439"/>
      <c r="AA155" s="439"/>
      <c r="AB155" s="439"/>
      <c r="AC155" s="439"/>
      <c r="AD155" s="439"/>
      <c r="AE155" s="439"/>
      <c r="AF155" s="439"/>
      <c r="AG155" s="439"/>
      <c r="AH155" s="439"/>
      <c r="AI155" s="439"/>
      <c r="AJ155" s="439"/>
      <c r="AK155" s="439"/>
      <c r="AL155" s="439"/>
      <c r="AM155" s="439"/>
      <c r="AN155" s="439"/>
      <c r="AO155" s="439"/>
      <c r="AP155" s="439"/>
      <c r="AQ155" s="439"/>
      <c r="AR155" s="439"/>
      <c r="AS155" s="439"/>
      <c r="AT155" s="439"/>
      <c r="AU155" s="439"/>
      <c r="AV155" s="439"/>
    </row>
    <row r="156" spans="1:48" ht="12.75" customHeight="1">
      <c r="A156" s="357"/>
      <c r="B156" s="357"/>
      <c r="C156" s="440"/>
      <c r="D156" s="440"/>
      <c r="E156" s="440"/>
      <c r="F156" s="440"/>
      <c r="G156" s="359"/>
      <c r="H156" s="359"/>
      <c r="I156" s="359"/>
      <c r="J156" s="359"/>
      <c r="K156" s="439"/>
      <c r="L156" s="439"/>
      <c r="M156" s="439"/>
      <c r="N156" s="439"/>
      <c r="O156" s="439"/>
      <c r="P156" s="439"/>
      <c r="Q156" s="439"/>
      <c r="R156" s="439"/>
      <c r="S156" s="439"/>
      <c r="T156" s="439"/>
      <c r="U156" s="439"/>
      <c r="V156" s="439"/>
      <c r="W156" s="439"/>
      <c r="X156" s="439"/>
      <c r="Y156" s="439"/>
      <c r="Z156" s="439"/>
      <c r="AA156" s="439"/>
      <c r="AB156" s="439"/>
      <c r="AC156" s="439"/>
      <c r="AD156" s="439"/>
      <c r="AE156" s="439"/>
      <c r="AF156" s="439"/>
      <c r="AG156" s="439"/>
      <c r="AH156" s="439"/>
      <c r="AI156" s="439"/>
      <c r="AJ156" s="439"/>
      <c r="AK156" s="439"/>
      <c r="AL156" s="439"/>
      <c r="AM156" s="439"/>
      <c r="AN156" s="439"/>
      <c r="AO156" s="439"/>
      <c r="AP156" s="439"/>
      <c r="AQ156" s="439"/>
      <c r="AR156" s="439"/>
      <c r="AS156" s="439"/>
      <c r="AT156" s="439"/>
      <c r="AU156" s="439"/>
      <c r="AV156" s="439"/>
    </row>
    <row r="157" spans="1:48" ht="12.75" customHeight="1">
      <c r="A157" s="357"/>
      <c r="B157" s="357"/>
      <c r="C157" s="440"/>
      <c r="D157" s="440"/>
      <c r="E157" s="440"/>
      <c r="F157" s="440"/>
      <c r="G157" s="359"/>
      <c r="H157" s="359"/>
      <c r="I157" s="359"/>
      <c r="J157" s="359"/>
      <c r="K157" s="439"/>
      <c r="L157" s="439"/>
      <c r="M157" s="439"/>
      <c r="N157" s="439"/>
      <c r="O157" s="439"/>
      <c r="P157" s="439"/>
      <c r="Q157" s="439"/>
      <c r="R157" s="439"/>
      <c r="S157" s="439"/>
      <c r="T157" s="439"/>
      <c r="U157" s="439"/>
      <c r="V157" s="439"/>
      <c r="W157" s="439"/>
      <c r="X157" s="439"/>
      <c r="Y157" s="439"/>
      <c r="Z157" s="439"/>
      <c r="AA157" s="439"/>
      <c r="AB157" s="439"/>
      <c r="AC157" s="439"/>
      <c r="AD157" s="439"/>
      <c r="AE157" s="439"/>
      <c r="AF157" s="439"/>
      <c r="AG157" s="439"/>
      <c r="AH157" s="439"/>
      <c r="AI157" s="439"/>
      <c r="AJ157" s="439"/>
      <c r="AK157" s="439"/>
      <c r="AL157" s="439"/>
      <c r="AM157" s="439"/>
      <c r="AN157" s="439"/>
      <c r="AO157" s="439"/>
      <c r="AP157" s="439"/>
      <c r="AQ157" s="439"/>
      <c r="AR157" s="439"/>
      <c r="AS157" s="439"/>
      <c r="AT157" s="439"/>
      <c r="AU157" s="439"/>
      <c r="AV157" s="439"/>
    </row>
    <row r="158" spans="1:48" ht="12.75" customHeight="1">
      <c r="A158" s="357"/>
      <c r="B158" s="357"/>
      <c r="C158" s="440"/>
      <c r="D158" s="440"/>
      <c r="E158" s="440"/>
      <c r="F158" s="440"/>
      <c r="G158" s="359"/>
      <c r="H158" s="359"/>
      <c r="I158" s="359"/>
      <c r="J158" s="359"/>
      <c r="K158" s="439"/>
      <c r="L158" s="439"/>
      <c r="M158" s="439"/>
      <c r="N158" s="439"/>
      <c r="O158" s="439"/>
      <c r="P158" s="439"/>
      <c r="Q158" s="439"/>
      <c r="R158" s="439"/>
      <c r="S158" s="439"/>
      <c r="T158" s="439"/>
      <c r="U158" s="439"/>
      <c r="V158" s="439"/>
      <c r="W158" s="439"/>
      <c r="X158" s="439"/>
      <c r="Y158" s="439"/>
      <c r="Z158" s="439"/>
      <c r="AA158" s="439"/>
      <c r="AB158" s="439"/>
      <c r="AC158" s="439"/>
      <c r="AD158" s="439"/>
      <c r="AE158" s="439"/>
      <c r="AF158" s="439"/>
      <c r="AG158" s="439"/>
      <c r="AH158" s="439"/>
      <c r="AI158" s="439"/>
      <c r="AJ158" s="439"/>
      <c r="AK158" s="439"/>
      <c r="AL158" s="439"/>
      <c r="AM158" s="439"/>
      <c r="AN158" s="439"/>
      <c r="AO158" s="439"/>
      <c r="AP158" s="439"/>
      <c r="AQ158" s="439"/>
      <c r="AR158" s="439"/>
      <c r="AS158" s="439"/>
      <c r="AT158" s="439"/>
      <c r="AU158" s="439"/>
      <c r="AV158" s="439"/>
    </row>
    <row r="159" spans="1:48" ht="12.75" customHeight="1">
      <c r="A159" s="357"/>
      <c r="B159" s="357"/>
      <c r="C159" s="440"/>
      <c r="D159" s="440"/>
      <c r="E159" s="440"/>
      <c r="F159" s="440"/>
      <c r="G159" s="359"/>
      <c r="H159" s="359"/>
      <c r="I159" s="359"/>
      <c r="J159" s="359"/>
      <c r="K159" s="439"/>
      <c r="L159" s="439"/>
      <c r="M159" s="439"/>
      <c r="N159" s="439"/>
      <c r="O159" s="439"/>
      <c r="P159" s="439"/>
      <c r="Q159" s="439"/>
      <c r="R159" s="439"/>
      <c r="S159" s="439"/>
      <c r="T159" s="439"/>
      <c r="U159" s="439"/>
      <c r="V159" s="439"/>
      <c r="W159" s="439"/>
      <c r="X159" s="439"/>
      <c r="Y159" s="439"/>
      <c r="Z159" s="439"/>
      <c r="AA159" s="439"/>
      <c r="AB159" s="439"/>
      <c r="AC159" s="439"/>
      <c r="AD159" s="439"/>
      <c r="AE159" s="439"/>
      <c r="AF159" s="439"/>
      <c r="AG159" s="439"/>
      <c r="AH159" s="439"/>
      <c r="AI159" s="439"/>
      <c r="AJ159" s="439"/>
      <c r="AK159" s="439"/>
      <c r="AL159" s="439"/>
      <c r="AM159" s="439"/>
      <c r="AN159" s="439"/>
      <c r="AO159" s="439"/>
      <c r="AP159" s="439"/>
      <c r="AQ159" s="439"/>
      <c r="AR159" s="439"/>
      <c r="AS159" s="439"/>
      <c r="AT159" s="439"/>
      <c r="AU159" s="439"/>
      <c r="AV15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89" priority="9">
      <formula>LEN(TRIM(B28))&gt;0</formula>
    </cfRule>
  </conditionalFormatting>
  <conditionalFormatting sqref="D23:D24 D31:D34">
    <cfRule type="cellIs" dxfId="88" priority="8" operator="lessThan">
      <formula>B23</formula>
    </cfRule>
  </conditionalFormatting>
  <conditionalFormatting sqref="F6:F9 I6:I11 C6:C12 F11:F14">
    <cfRule type="expression" dxfId="87" priority="10">
      <formula>_xludf.isformula(C6)=FALSE</formula>
    </cfRule>
  </conditionalFormatting>
  <conditionalFormatting sqref="G6:G8">
    <cfRule type="notContainsBlanks" dxfId="86" priority="7">
      <formula>LEN(TRIM(G6))&gt;0</formula>
    </cfRule>
  </conditionalFormatting>
  <conditionalFormatting sqref="I44">
    <cfRule type="cellIs" dxfId="85" priority="6" operator="notEqual">
      <formula>"OK"</formula>
    </cfRule>
  </conditionalFormatting>
  <conditionalFormatting sqref="AJ15:AJ20 AJ24:AJ27">
    <cfRule type="cellIs" dxfId="84" priority="1" operator="equal">
      <formula>"PASS"</formula>
    </cfRule>
  </conditionalFormatting>
  <conditionalFormatting sqref="AM11">
    <cfRule type="cellIs" dxfId="83" priority="2" operator="equal">
      <formula>"OK"</formula>
    </cfRule>
    <cfRule type="cellIs" dxfId="82" priority="3" operator="equal">
      <formula>"TRUE"</formula>
    </cfRule>
    <cfRule type="cellIs" dxfId="81" priority="4" operator="equal">
      <formula>"PASS"</formula>
    </cfRule>
  </conditionalFormatting>
  <dataValidations disablePrompts="1" count="2">
    <dataValidation type="list" allowBlank="1" sqref="C7" xr:uid="{00000000-0002-0000-0200-000000000000}">
      <formula1>$X$5:$X$8</formula1>
    </dataValidation>
    <dataValidation type="list" allowBlank="1" sqref="C11" xr:uid="{00000000-0002-0000-0200-000001000000}">
      <formula1>$X$13:$X$19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AV149"/>
  <sheetViews>
    <sheetView topLeftCell="A11" zoomScaleNormal="100" workbookViewId="0">
      <selection activeCell="AX7" sqref="AX7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</row>
    <row r="2" spans="1:48" ht="15.75" customHeight="1">
      <c r="A2" s="572" t="str">
        <f>MODULEINPUT!$A$3&amp; ": LINTEL DESIGN FOR "&amp;MODULEINPUT!A22</f>
        <v>CREECH DRP PH2 - LEVEL 2 OPENING: LINTEL DESIGN FOR ML2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LINTEL2!$F6</f>
        <v>16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</row>
    <row r="4" spans="1:48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LINTEL2!$C6</f>
        <v>17.666</v>
      </c>
      <c r="N4" s="185" t="s">
        <v>87</v>
      </c>
      <c r="O4" s="185"/>
      <c r="P4" s="186" t="s">
        <v>88</v>
      </c>
      <c r="Q4" s="194">
        <f>LINTEL2!$F7</f>
        <v>2</v>
      </c>
      <c r="R4" s="185"/>
      <c r="S4" s="185"/>
      <c r="T4" s="186" t="s">
        <v>89</v>
      </c>
      <c r="U4" s="195">
        <f>LINTEL2!$I6</f>
        <v>2501.248</v>
      </c>
      <c r="V4" s="185" t="s">
        <v>90</v>
      </c>
      <c r="W4" s="188"/>
      <c r="X4" s="196" t="str">
        <f>LINTEL2!$C7</f>
        <v>8" CMU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>
        <f>Z9</f>
        <v>7.625</v>
      </c>
      <c r="N5" s="185" t="s">
        <v>82</v>
      </c>
      <c r="O5" s="185"/>
      <c r="P5" s="186" t="s">
        <v>96</v>
      </c>
      <c r="Q5" s="202">
        <f>LINTEL2!$F8</f>
        <v>5</v>
      </c>
      <c r="R5" s="185"/>
      <c r="S5" s="185"/>
      <c r="T5" s="203" t="s">
        <v>97</v>
      </c>
      <c r="U5" s="195">
        <f>LINTEL2!$I7</f>
        <v>240</v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86</v>
      </c>
      <c r="C6" s="208">
        <f>MODULEINPUT!C21</f>
        <v>17.666</v>
      </c>
      <c r="D6" s="19"/>
      <c r="E6" s="17" t="s">
        <v>81</v>
      </c>
      <c r="F6" s="209">
        <f>MODULEINPUT!F36</f>
        <v>16</v>
      </c>
      <c r="G6" s="573" t="str">
        <f>IF(AJ19="FAIL","As &gt; As,max " &amp; AK19,"")</f>
        <v/>
      </c>
      <c r="H6" s="17" t="s">
        <v>89</v>
      </c>
      <c r="I6" s="210">
        <f>MODULEINPUT!H22</f>
        <v>2501.248</v>
      </c>
      <c r="J6" s="18"/>
      <c r="K6" s="185"/>
      <c r="L6" s="186" t="s">
        <v>102</v>
      </c>
      <c r="M6" s="193">
        <f>LINTEL2!$C8</f>
        <v>7.3</v>
      </c>
      <c r="N6" s="185" t="s">
        <v>87</v>
      </c>
      <c r="O6" s="185"/>
      <c r="P6" s="211" t="s">
        <v>103</v>
      </c>
      <c r="Q6" s="212">
        <f>F9</f>
        <v>1</v>
      </c>
      <c r="R6" s="175"/>
      <c r="S6" s="185"/>
      <c r="T6" s="203" t="s">
        <v>104</v>
      </c>
      <c r="U6" s="195">
        <f>LINTEL2!$I8</f>
        <v>0</v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3.3333333333333335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105</v>
      </c>
      <c r="C7" s="214" t="str">
        <f>MODULEINPUT!D22</f>
        <v>8" CMU</v>
      </c>
      <c r="D7" s="19"/>
      <c r="E7" s="17" t="s">
        <v>88</v>
      </c>
      <c r="F7" s="215">
        <f>MODULEINPUT!G36*F9</f>
        <v>2</v>
      </c>
      <c r="G7" s="574"/>
      <c r="H7" s="17" t="s">
        <v>97</v>
      </c>
      <c r="I7" s="216">
        <f>MODULEINPUT!I22</f>
        <v>240</v>
      </c>
      <c r="J7" s="18"/>
      <c r="K7" s="185"/>
      <c r="L7" s="186" t="s">
        <v>106</v>
      </c>
      <c r="M7" s="193">
        <f>LINTEL2!$C9</f>
        <v>6.3</v>
      </c>
      <c r="N7" s="185" t="s">
        <v>87</v>
      </c>
      <c r="O7" s="185"/>
      <c r="P7" s="186" t="s">
        <v>107</v>
      </c>
      <c r="Q7" s="217">
        <f>LINTEL2!$F11</f>
        <v>24</v>
      </c>
      <c r="R7" s="185" t="s">
        <v>82</v>
      </c>
      <c r="S7" s="185"/>
      <c r="T7" s="203" t="s">
        <v>108</v>
      </c>
      <c r="U7" s="218">
        <f>LINTEL2!$I9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3.3333333333333335</v>
      </c>
      <c r="AS7" s="213">
        <f>AS6+M6</f>
        <v>8.3000000000000007</v>
      </c>
      <c r="AT7" s="207"/>
      <c r="AU7" s="207"/>
      <c r="AV7" s="185"/>
    </row>
    <row r="8" spans="1:48" ht="15.75" customHeight="1">
      <c r="A8" s="17"/>
      <c r="B8" s="17" t="s">
        <v>102</v>
      </c>
      <c r="C8" s="219">
        <f>MODULEINPUT!C36</f>
        <v>7.3</v>
      </c>
      <c r="D8" s="19"/>
      <c r="E8" s="17" t="s">
        <v>96</v>
      </c>
      <c r="F8" s="220">
        <f>MODULEINPUT!E36</f>
        <v>5</v>
      </c>
      <c r="G8" s="575"/>
      <c r="H8" s="17" t="s">
        <v>104</v>
      </c>
      <c r="I8" s="216">
        <f>MODULEINPUT!J22</f>
        <v>0</v>
      </c>
      <c r="J8" s="18"/>
      <c r="K8" s="185"/>
      <c r="L8" s="186" t="s">
        <v>110</v>
      </c>
      <c r="M8" s="193">
        <f>LINTEL2!$C10-0.0000001</f>
        <v>17.699999899999998</v>
      </c>
      <c r="N8" s="185" t="s">
        <v>87</v>
      </c>
      <c r="O8" s="185"/>
      <c r="P8" s="186" t="s">
        <v>111</v>
      </c>
      <c r="Q8" s="217">
        <f>LINTEL2!$F12</f>
        <v>5.3125</v>
      </c>
      <c r="R8" s="185" t="s">
        <v>82</v>
      </c>
      <c r="S8" s="185"/>
      <c r="T8" s="203" t="s">
        <v>112</v>
      </c>
      <c r="U8" s="218">
        <f ca="1">LINTEL2!$I10</f>
        <v>32.673999999999999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9.6333333333333329</v>
      </c>
      <c r="AS8" s="213">
        <f>AS7</f>
        <v>8.3000000000000007</v>
      </c>
      <c r="AT8" s="207"/>
      <c r="AU8" s="207"/>
      <c r="AV8" s="185"/>
    </row>
    <row r="9" spans="1:48" ht="15.75" customHeight="1">
      <c r="A9" s="17"/>
      <c r="B9" s="17" t="s">
        <v>106</v>
      </c>
      <c r="C9" s="219">
        <f>MODULEINPUT!D36</f>
        <v>6.3</v>
      </c>
      <c r="D9" s="19"/>
      <c r="E9" s="17" t="s">
        <v>103</v>
      </c>
      <c r="F9" s="221">
        <f>MODULEINPUT!H36</f>
        <v>1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>
        <f>Z20</f>
        <v>8</v>
      </c>
      <c r="N9" s="185" t="s">
        <v>115</v>
      </c>
      <c r="O9" s="185"/>
      <c r="P9" s="186" t="s">
        <v>116</v>
      </c>
      <c r="Q9" s="194">
        <f>LINTEL2!$F13</f>
        <v>2</v>
      </c>
      <c r="R9" s="185"/>
      <c r="S9" s="185"/>
      <c r="T9" s="203" t="s">
        <v>13</v>
      </c>
      <c r="U9" s="185" t="b">
        <f>IF(LINTEL2!$I11="y",TRUE,FALSE)</f>
        <v>1</v>
      </c>
      <c r="V9" s="185"/>
      <c r="W9" s="188"/>
      <c r="X9" s="224" t="s">
        <v>117</v>
      </c>
      <c r="Y9" s="225" t="str">
        <f>VLOOKUP(X4,X5:Z8,2,FALSE)</f>
        <v>8" CMU</v>
      </c>
      <c r="Z9" s="225">
        <f>VLOOKUP(X4,X5:Z8,3,FALSE)</f>
        <v>7.625</v>
      </c>
      <c r="AA9" s="225">
        <f>VLOOKUP(X4,X5:AA8,4,FALSE)</f>
        <v>84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9.6333333333333329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110</v>
      </c>
      <c r="C10" s="219">
        <f>MODULEINPUT!E22</f>
        <v>17.7</v>
      </c>
      <c r="D10" s="19"/>
      <c r="E10" s="19"/>
      <c r="F10" s="40"/>
      <c r="G10" s="19"/>
      <c r="H10" s="17" t="s">
        <v>112</v>
      </c>
      <c r="I10" s="222">
        <f ca="1">M22</f>
        <v>32.673999999999999</v>
      </c>
      <c r="J10" s="18"/>
      <c r="K10" s="185"/>
      <c r="L10" s="186" t="s">
        <v>118</v>
      </c>
      <c r="M10" s="226">
        <f>LINTEL2!$C12</f>
        <v>2000</v>
      </c>
      <c r="N10" s="185" t="s">
        <v>119</v>
      </c>
      <c r="O10" s="185"/>
      <c r="P10" s="186" t="s">
        <v>96</v>
      </c>
      <c r="Q10" s="202">
        <f>LINTEL2!$F14</f>
        <v>5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11.966666666666667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122</v>
      </c>
      <c r="C11" s="228" t="str">
        <f>MODULEINPUT!B36</f>
        <v>Solid</v>
      </c>
      <c r="D11" s="19"/>
      <c r="E11" s="17" t="s">
        <v>107</v>
      </c>
      <c r="F11" s="209">
        <f>MODULEINPUT!J36</f>
        <v>24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MODULEINPUT!K36</f>
        <v>2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str">
        <f ca="1">IF(AND(AJ27="pass",AJ26="pass",AJ25="pass",AJ24="pass",AJ19="pass",AJ18="pass",AJ17="pass",AJ16="pass",AJ15="pass",AJ20="pass")=TRUE,"OK","FAILS")</f>
        <v>OK</v>
      </c>
      <c r="AN11" s="184"/>
      <c r="AO11" s="191"/>
      <c r="AP11" s="188"/>
      <c r="AQ11" s="200">
        <v>7</v>
      </c>
      <c r="AR11" s="213">
        <f>AR10</f>
        <v>11.966666666666667</v>
      </c>
      <c r="AS11" s="213">
        <f>AS5+M4</f>
        <v>18.666</v>
      </c>
      <c r="AT11" s="207"/>
      <c r="AU11" s="207"/>
      <c r="AV11" s="185"/>
    </row>
    <row r="12" spans="1:48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>
        <f>IF(MODULEINPUT!K36=1,M5/2,M5-2-F14/16)</f>
        <v>5.3125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 t="str">
        <f>LINTEL2!$C11</f>
        <v>Solid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18.666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116</v>
      </c>
      <c r="F13" s="215">
        <f>MODULEINPUT!K36</f>
        <v>2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96</v>
      </c>
      <c r="F14" s="220">
        <f>MODULEINPUT!I36</f>
        <v>5</v>
      </c>
      <c r="G14" s="19"/>
      <c r="H14" s="19"/>
      <c r="I14" s="19"/>
      <c r="J14" s="18"/>
      <c r="K14" s="185"/>
      <c r="L14" s="175"/>
      <c r="M14" s="186" t="s">
        <v>131</v>
      </c>
      <c r="N14" s="246">
        <f>M4*12/M5</f>
        <v>27.802229508196724</v>
      </c>
      <c r="O14" s="185" t="s">
        <v>132</v>
      </c>
      <c r="P14" s="185"/>
      <c r="Q14" s="185"/>
      <c r="R14" s="211" t="s">
        <v>133</v>
      </c>
      <c r="S14" s="247">
        <f>(M9/2-4+Q7)/12</f>
        <v>2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>
        <f>AC21</f>
        <v>84</v>
      </c>
      <c r="O15" s="185" t="s">
        <v>109</v>
      </c>
      <c r="P15" s="185"/>
      <c r="Q15" s="185"/>
      <c r="R15" s="211" t="s">
        <v>141</v>
      </c>
      <c r="S15" s="247">
        <f>M7/2</f>
        <v>3.15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>
        <f>LINTEL2!$B23</f>
        <v>4.1809341000000009</v>
      </c>
      <c r="AH15" s="254" t="s">
        <v>143</v>
      </c>
      <c r="AI15" s="253">
        <f>LINTEL2!$D23</f>
        <v>31.452890624999998</v>
      </c>
      <c r="AJ15" s="255" t="str">
        <f>AB86</f>
        <v>PASS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>
        <f>AA9</f>
        <v>84</v>
      </c>
      <c r="O16" s="185" t="s">
        <v>109</v>
      </c>
      <c r="P16" s="185"/>
      <c r="Q16" s="185"/>
      <c r="R16" s="186" t="s">
        <v>147</v>
      </c>
      <c r="S16" s="246">
        <f>N18+N17*S15+U4*S15</f>
        <v>13589.662799999998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>
        <f>LINTEL2!$B24</f>
        <v>2.0149080000000006</v>
      </c>
      <c r="AH16" s="254" t="s">
        <v>151</v>
      </c>
      <c r="AI16" s="260">
        <f>LINTEL2!$D24</f>
        <v>9.8208105571790778</v>
      </c>
      <c r="AJ16" s="255" t="str">
        <f>AB79</f>
        <v>PASS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</row>
    <row r="17" spans="1:48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>
        <f>(M4-M6-Q3/12)*N15+Q3/12*N16</f>
        <v>870.74399999999991</v>
      </c>
      <c r="O17" s="185" t="s">
        <v>90</v>
      </c>
      <c r="P17" s="185"/>
      <c r="Q17" s="185"/>
      <c r="R17" s="186" t="s">
        <v>154</v>
      </c>
      <c r="S17" s="185">
        <f>U5*S15</f>
        <v>756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>
        <f>1.3*Y91/1000</f>
        <v>7.0488888888888885</v>
      </c>
      <c r="AH17" s="254" t="s">
        <v>157</v>
      </c>
      <c r="AI17" s="260">
        <f>AI15/0.9</f>
        <v>34.947656249999994</v>
      </c>
      <c r="AJ17" s="255" t="str">
        <f t="shared" ref="AJ17:AK17" si="1">AB91</f>
        <v>PASS</v>
      </c>
      <c r="AK17" s="256" t="str">
        <f t="shared" si="1"/>
        <v>---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18.699999899999998</v>
      </c>
      <c r="AT17" s="207"/>
      <c r="AU17" s="207"/>
      <c r="AV17" s="185"/>
    </row>
    <row r="18" spans="1:48" ht="15.75" customHeight="1">
      <c r="A18" s="19"/>
      <c r="B18" s="17" t="s">
        <v>158</v>
      </c>
      <c r="C18" s="15" t="str">
        <f>Y43</f>
        <v>Yes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>
        <f>AA9*Q7/12*M4</f>
        <v>2967.8879999999999</v>
      </c>
      <c r="O18" s="185" t="s">
        <v>148</v>
      </c>
      <c r="P18" s="185"/>
      <c r="Q18" s="185"/>
      <c r="R18" s="186" t="s">
        <v>160</v>
      </c>
      <c r="S18" s="185">
        <f>U6*(S15+Q7/12)</f>
        <v>0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>
        <f>Y106</f>
        <v>1.0729234588724519E-3</v>
      </c>
      <c r="AH18" s="269" t="s">
        <v>163</v>
      </c>
      <c r="AI18" s="268">
        <f>Y105</f>
        <v>0.126</v>
      </c>
      <c r="AJ18" s="255" t="str">
        <f>AB106</f>
        <v>PASS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>
        <f>AR11</f>
        <v>11.966666666666667</v>
      </c>
      <c r="AS18" s="213">
        <f>AS17</f>
        <v>18.699999899999998</v>
      </c>
      <c r="AT18" s="207"/>
      <c r="AU18" s="207"/>
      <c r="AV18" s="185"/>
    </row>
    <row r="19" spans="1:48" ht="15.75" customHeight="1">
      <c r="A19" s="19"/>
      <c r="B19" s="17" t="s">
        <v>164</v>
      </c>
      <c r="C19" s="273">
        <f>Y40</f>
        <v>8.3000000000000007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>
        <f>S14*U7</f>
        <v>50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>
        <f>Y94</f>
        <v>1.1611897435897436</v>
      </c>
      <c r="AH19" s="269" t="s">
        <v>168</v>
      </c>
      <c r="AI19" s="274">
        <f>Y83</f>
        <v>0.62</v>
      </c>
      <c r="AJ19" s="255" t="str">
        <f t="shared" ref="AJ19:AK19" si="2">AB95</f>
        <v>PASS</v>
      </c>
      <c r="AK19" s="270" t="str">
        <f t="shared" si="2"/>
        <v>---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169</v>
      </c>
      <c r="C20" s="275">
        <f>Y82</f>
        <v>12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MODULEINPUT!B22</f>
        <v>1</v>
      </c>
      <c r="N20" s="175"/>
      <c r="O20" s="175"/>
      <c r="P20" s="185"/>
      <c r="Q20" s="185"/>
      <c r="R20" s="186" t="s">
        <v>171</v>
      </c>
      <c r="S20" s="175">
        <f>U7*S15</f>
        <v>78.75</v>
      </c>
      <c r="T20" s="266" t="s">
        <v>172</v>
      </c>
      <c r="U20" s="185"/>
      <c r="V20" s="185"/>
      <c r="W20" s="188"/>
      <c r="X20" s="225" t="s">
        <v>117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173</v>
      </c>
      <c r="AG20" s="260">
        <f>AG16</f>
        <v>2.0149080000000006</v>
      </c>
      <c r="AH20" s="269" t="s">
        <v>174</v>
      </c>
      <c r="AI20" s="260">
        <f ca="1">AC65/1000</f>
        <v>192.77997775439286</v>
      </c>
      <c r="AJ20" s="255" t="str">
        <f ca="1">AC66</f>
        <v>PASS</v>
      </c>
      <c r="AK20" s="270" t="str">
        <f ca="1">AC67</f>
        <v>---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279">
        <f t="array" ref="M21">INDEX(MODULEINPUT!C14:C17,MATCH(M20,MODULEINPUT!A14:A17,0))+N15</f>
        <v>124</v>
      </c>
      <c r="N21" s="175"/>
      <c r="O21" s="175"/>
      <c r="P21" s="185"/>
      <c r="Q21" s="185"/>
      <c r="R21" s="186" t="s">
        <v>175</v>
      </c>
      <c r="S21" s="247">
        <f ca="1">S14*U8</f>
        <v>65.347999999999999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>
        <f>IF(AA13=Y9,AA20,IF(AB13=Y9,AB20,AC20))</f>
        <v>84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48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>
        <f ca="1">MODULEINPUT!P5*M21</f>
        <v>32.673999999999999</v>
      </c>
      <c r="N22" s="185"/>
      <c r="O22" s="185"/>
      <c r="P22" s="185"/>
      <c r="Q22" s="185"/>
      <c r="R22" s="186" t="s">
        <v>178</v>
      </c>
      <c r="S22" s="175">
        <f ca="1">U8*S15</f>
        <v>102.92309999999999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48" ht="15.75" customHeight="1">
      <c r="A23" s="17" t="s">
        <v>142</v>
      </c>
      <c r="B23" s="281">
        <f t="shared" ref="B23:B24" si="3">Y59/1000</f>
        <v>4.1809341000000009</v>
      </c>
      <c r="C23" s="17" t="s">
        <v>143</v>
      </c>
      <c r="D23" s="281">
        <f>Y86/1000</f>
        <v>31.452890624999998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3.3333333333333335</v>
      </c>
      <c r="AS23" s="213">
        <f t="shared" si="4"/>
        <v>8.3000000000000007</v>
      </c>
      <c r="AT23" s="207"/>
      <c r="AU23" s="207"/>
      <c r="AV23" s="185"/>
    </row>
    <row r="24" spans="1:48" ht="15.75" customHeight="1">
      <c r="A24" s="17" t="s">
        <v>150</v>
      </c>
      <c r="B24" s="287">
        <f t="shared" si="3"/>
        <v>2.0149080000000006</v>
      </c>
      <c r="C24" s="17" t="s">
        <v>151</v>
      </c>
      <c r="D24" s="287">
        <f>Y79/1000</f>
        <v>9.8208105571790778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>
        <f ca="1">LINTEL2!$B31</f>
        <v>6.5897065404150359</v>
      </c>
      <c r="AH24" s="254" t="s">
        <v>143</v>
      </c>
      <c r="AI24" s="253">
        <f>LINTEL2!$D31</f>
        <v>11.577866464215365</v>
      </c>
      <c r="AJ24" s="255" t="str">
        <f t="shared" ref="AJ24:AK24" ca="1" si="5">Q86</f>
        <v>PASS</v>
      </c>
      <c r="AK24" s="256" t="str">
        <f t="shared" si="5"/>
        <v>Tension Controls</v>
      </c>
      <c r="AL24" s="284"/>
      <c r="AM24" s="285"/>
      <c r="AN24" s="184"/>
      <c r="AO24" s="191"/>
      <c r="AP24" s="188"/>
      <c r="AQ24" s="286">
        <v>2</v>
      </c>
      <c r="AR24" s="213">
        <f>AR23</f>
        <v>3.3333333333333335</v>
      </c>
      <c r="AS24" s="213">
        <f>AS11</f>
        <v>18.666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>
        <f ca="1">LINTEL2!$B32</f>
        <v>1.4883412450126781E-4</v>
      </c>
      <c r="AH25" s="254" t="s">
        <v>143</v>
      </c>
      <c r="AI25" s="253">
        <f>LINTEL2!$D32</f>
        <v>11.577866464215365</v>
      </c>
      <c r="AJ25" s="255" t="str">
        <f t="shared" ref="AJ25:AK25" ca="1" si="6">Q87</f>
        <v>PASS</v>
      </c>
      <c r="AK25" s="256" t="str">
        <f t="shared" si="6"/>
        <v>Tension Controls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1.3333333333333335</v>
      </c>
      <c r="AS25" s="213">
        <f>AS24</f>
        <v>18.666</v>
      </c>
      <c r="AT25" s="207"/>
      <c r="AU25" s="207"/>
      <c r="AV25" s="185"/>
    </row>
    <row r="26" spans="1:48" ht="15.75" customHeight="1">
      <c r="A26" s="19"/>
      <c r="B26" s="17" t="s">
        <v>184</v>
      </c>
      <c r="C26" s="289">
        <f>Y91/1000</f>
        <v>5.4222222222222216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>
        <f ca="1">LINTEL2!$B33</f>
        <v>1.4892047215087181</v>
      </c>
      <c r="AH26" s="254" t="s">
        <v>151</v>
      </c>
      <c r="AI26" s="260">
        <f ca="1">LINTEL2!$D33</f>
        <v>33.516013144080475</v>
      </c>
      <c r="AJ26" s="255" t="str">
        <f t="shared" ref="AJ26:AK26" ca="1" si="7">Q88</f>
        <v>PASS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1.3333333333333335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188</v>
      </c>
      <c r="C27" s="292">
        <f>Y107</f>
        <v>92830.48028856676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>
        <f ca="1">S21</f>
        <v>65.347999999999999</v>
      </c>
      <c r="N27" s="207">
        <f ca="1">S22</f>
        <v>102.92309999999999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>
        <f>LINTEL2!$B34</f>
        <v>17.517195359999999</v>
      </c>
      <c r="AH27" s="299" t="s">
        <v>192</v>
      </c>
      <c r="AI27" s="298">
        <f>LINTEL2!$D34</f>
        <v>124.78117441834642</v>
      </c>
      <c r="AJ27" s="300" t="str">
        <f t="shared" ref="AJ27:AK27" si="8">Q89</f>
        <v>PASS</v>
      </c>
      <c r="AK27" s="301" t="str">
        <f t="shared" si="8"/>
        <v>No Slender Provisions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9.6333333333333329</v>
      </c>
      <c r="AS27" s="213">
        <f t="shared" si="9"/>
        <v>8.3000000000000007</v>
      </c>
      <c r="AT27" s="207"/>
      <c r="AU27" s="207"/>
      <c r="AV27" s="185"/>
    </row>
    <row r="28" spans="1:48" ht="15.75" customHeight="1">
      <c r="A28" s="19"/>
      <c r="B28" s="572" t="str">
        <f ca="1">IF(AJ17="FAIL",AK17,IF(AJ18="FAIL","Deflection Fails",IF(AJ20="FAIL",AK20,"")))</f>
        <v/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>
        <f>1*S19</f>
        <v>50</v>
      </c>
      <c r="N28" s="453">
        <f>1*S20</f>
        <v>78.75</v>
      </c>
      <c r="O28" s="185"/>
      <c r="P28" s="207"/>
      <c r="Q28" s="305" t="s">
        <v>181</v>
      </c>
      <c r="R28" s="306">
        <f ca="1">S145</f>
        <v>6589.7065404150362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9.6333333333333329</v>
      </c>
      <c r="AS28" s="213">
        <f>AS25</f>
        <v>18.666</v>
      </c>
      <c r="AT28" s="207"/>
      <c r="AU28" s="207"/>
      <c r="AV28" s="185"/>
    </row>
    <row r="29" spans="1:48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>
        <f t="shared" ref="M29:N29" ca="1" si="10">MAX(M27:M28)</f>
        <v>65.347999999999999</v>
      </c>
      <c r="N29" s="201">
        <f t="shared" ca="1" si="10"/>
        <v>102.92309999999999</v>
      </c>
      <c r="O29" s="311" t="s">
        <v>90</v>
      </c>
      <c r="P29" s="207"/>
      <c r="Q29" s="312" t="s">
        <v>183</v>
      </c>
      <c r="R29" s="313">
        <f t="shared" ref="R29:R30" ca="1" si="11">S147</f>
        <v>-0.14883412450126782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11.633333333333333</v>
      </c>
      <c r="AS29" s="213">
        <f>AS28</f>
        <v>18.666</v>
      </c>
      <c r="AT29" s="207"/>
      <c r="AU29" s="207"/>
      <c r="AV29" s="185"/>
    </row>
    <row r="30" spans="1:48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>
        <f t="shared" ca="1" si="11"/>
        <v>1489.204721508718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11.633333333333333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181</v>
      </c>
      <c r="B31" s="319">
        <f t="shared" ref="B31:B34" ca="1" si="12">M86/1000</f>
        <v>6.5897065404150359</v>
      </c>
      <c r="C31" s="318" t="s">
        <v>143</v>
      </c>
      <c r="D31" s="319">
        <f t="shared" ref="D31:D34" si="13">O86/1000</f>
        <v>11.577866464215365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183</v>
      </c>
      <c r="B32" s="319">
        <f t="shared" ca="1" si="12"/>
        <v>1.4883412450126781E-4</v>
      </c>
      <c r="C32" s="318" t="s">
        <v>143</v>
      </c>
      <c r="D32" s="319">
        <f t="shared" si="13"/>
        <v>11.577866464215365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>
        <f>(VLOOKUP(Q10,X26:Y32,2,FALSE))*Q9</f>
        <v>0.62</v>
      </c>
      <c r="N32" s="266" t="s">
        <v>198</v>
      </c>
      <c r="O32" s="320" t="s">
        <v>199</v>
      </c>
      <c r="P32" s="321">
        <f>0.8*M35</f>
        <v>2.3254541475158681</v>
      </c>
      <c r="Q32" s="186"/>
      <c r="R32" s="313"/>
      <c r="S32" s="207"/>
      <c r="T32" s="186" t="s">
        <v>200</v>
      </c>
      <c r="U32" s="313">
        <f>(0.8*M10*P32*P33*(M34-P32/2))/12</f>
        <v>30880.341320251751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>
        <f>MAX(AR5:AS30)</f>
        <v>18.699999899999998</v>
      </c>
      <c r="AS32" s="213">
        <f>AR32</f>
        <v>18.699999899999998</v>
      </c>
      <c r="AT32" s="207"/>
      <c r="AU32" s="207"/>
      <c r="AV32" s="185"/>
    </row>
    <row r="33" spans="1:48" ht="15.75" customHeight="1">
      <c r="A33" s="318" t="s">
        <v>150</v>
      </c>
      <c r="B33" s="324">
        <f t="shared" ca="1" si="12"/>
        <v>1.4892047215087181</v>
      </c>
      <c r="C33" s="318" t="s">
        <v>151</v>
      </c>
      <c r="D33" s="324">
        <f t="shared" ca="1" si="13"/>
        <v>33.516013144080475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24</v>
      </c>
      <c r="Q33" s="186"/>
      <c r="R33" s="313"/>
      <c r="S33" s="207"/>
      <c r="T33" s="186" t="s">
        <v>203</v>
      </c>
      <c r="U33" s="313">
        <f>(M32*M33*(M34-P32/2))/12</f>
        <v>12864.296071350405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>
        <f t="shared" si="12"/>
        <v>17.517195359999999</v>
      </c>
      <c r="C34" s="318" t="s">
        <v>192</v>
      </c>
      <c r="D34" s="324">
        <f t="shared" si="13"/>
        <v>124.78117441834642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>
        <f>Q8</f>
        <v>5.3125</v>
      </c>
      <c r="N34" s="266" t="s">
        <v>205</v>
      </c>
      <c r="O34" s="320" t="s">
        <v>206</v>
      </c>
      <c r="P34" s="207">
        <f>(M32*M33)/(0.8*P32*P33)</f>
        <v>833.17058823529396</v>
      </c>
      <c r="Q34" s="266" t="str">
        <f>IF(P34&gt;M10,"Compression Controls","Tension Controls")</f>
        <v>Tension Controls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>
        <f>(0.0025/(0.0025+0.002069))*M34</f>
        <v>2.9068176843948348</v>
      </c>
      <c r="N35" s="266" t="s">
        <v>82</v>
      </c>
      <c r="O35" s="326" t="s">
        <v>157</v>
      </c>
      <c r="P35" s="327">
        <f>MIN(U32:U33)</f>
        <v>12864.296071350405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3.3333333333333335</v>
      </c>
      <c r="AS36" s="213">
        <f t="shared" si="14"/>
        <v>8.3000000000000007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1.3333333333333335</v>
      </c>
      <c r="AS37" s="213">
        <f>AS36</f>
        <v>8.3000000000000007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1.3333333333333335</v>
      </c>
      <c r="AS38" s="213">
        <f>AS37+Q3/12</f>
        <v>9.6333333333333346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ROUND(LINTEL2!F6/8,0)</f>
        <v>2</v>
      </c>
      <c r="D39" s="40" t="str">
        <f>""</f>
        <v/>
      </c>
      <c r="E39" s="40"/>
      <c r="F39" s="40"/>
      <c r="G39" s="93" t="s">
        <v>214</v>
      </c>
      <c r="H39" s="44">
        <f>ROUND(LINTEL2!F11/8,0)</f>
        <v>3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11.633333333333333</v>
      </c>
      <c r="AS39" s="213">
        <f>AS38</f>
        <v>9.6333333333333346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CONCATENATE("(",LINTEL2!F7,")"," #",LINTEL2!F8)</f>
        <v>(2) #5</v>
      </c>
      <c r="D40" s="19"/>
      <c r="E40" s="19"/>
      <c r="F40" s="19"/>
      <c r="G40" s="17" t="s">
        <v>217</v>
      </c>
      <c r="H40" s="15" t="str">
        <f>CONCATENATE("(", IF(Q11=2,LINTEL2!F13*2,LINTEL2!F13),")"," #",LINTEL2!F14)</f>
        <v>(4) #5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8.3000000000000007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11.633333333333333</v>
      </c>
      <c r="AS40" s="213">
        <f>AS36</f>
        <v>8.3000000000000007</v>
      </c>
      <c r="AT40" s="185"/>
      <c r="AU40" s="185"/>
      <c r="AV40" s="185"/>
    </row>
    <row r="41" spans="1:48" ht="15.75" customHeight="1">
      <c r="A41" s="17"/>
      <c r="B41" s="17" t="str">
        <f>CONCATENATE("Shear Reinforcing (",AB71,"):")</f>
        <v>Shear Reinforcing (Not Req'd):</v>
      </c>
      <c r="C41" s="15" t="s">
        <v>219</v>
      </c>
      <c r="D41" s="15" t="s">
        <v>220</v>
      </c>
      <c r="E41" s="19"/>
      <c r="F41" s="19"/>
      <c r="G41" s="17" t="s">
        <v>221</v>
      </c>
      <c r="H41" s="347">
        <f>LINTEL2!F12</f>
        <v>5.3125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9.6333333333333329</v>
      </c>
      <c r="AS41" s="213">
        <f>AS36</f>
        <v>8.3000000000000007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str">
        <f t="shared" ref="C42:C44" si="15">Z74</f>
        <v>-</v>
      </c>
      <c r="D42" s="348" t="str">
        <f t="shared" ref="D42:D44" si="16">AB74</f>
        <v>-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str">
        <f t="shared" si="15"/>
        <v>-</v>
      </c>
      <c r="D43" s="348" t="str">
        <f t="shared" si="16"/>
        <v>-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Yes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str">
        <f t="shared" si="15"/>
        <v>-</v>
      </c>
      <c r="D44" s="348" t="str">
        <f t="shared" si="16"/>
        <v>-</v>
      </c>
      <c r="E44" s="333"/>
      <c r="F44" s="333"/>
      <c r="G44" s="333"/>
      <c r="H44" s="318" t="s">
        <v>125</v>
      </c>
      <c r="I44" s="350" t="str">
        <f ca="1">AM11</f>
        <v>OK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4.8166666666666673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>
        <f>(Y44-Q3/12)*N15+Q3/12*N16</f>
        <v>404.60000000000008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455"/>
      <c r="B47" s="455"/>
      <c r="C47" s="456"/>
      <c r="D47" s="457"/>
      <c r="E47" s="457"/>
      <c r="F47" s="457"/>
      <c r="G47" s="458"/>
      <c r="H47" s="458"/>
      <c r="I47" s="458"/>
      <c r="J47" s="458"/>
      <c r="K47" s="459"/>
      <c r="L47" s="460"/>
      <c r="M47" s="462"/>
      <c r="N47" s="462"/>
      <c r="O47" s="462"/>
      <c r="P47" s="462"/>
      <c r="Q47" s="462"/>
      <c r="R47" s="462"/>
      <c r="S47" s="463"/>
      <c r="T47" s="463"/>
      <c r="U47" s="463"/>
      <c r="V47" s="464"/>
      <c r="W47" s="465" t="s">
        <v>228</v>
      </c>
      <c r="X47" s="466"/>
      <c r="Y47" s="466"/>
      <c r="Z47" s="466"/>
      <c r="AA47" s="463"/>
      <c r="AB47" s="463"/>
      <c r="AC47" s="463"/>
      <c r="AD47" s="464"/>
      <c r="AE47" s="467"/>
      <c r="AF47" s="467"/>
      <c r="AG47" s="467"/>
      <c r="AH47" s="467"/>
      <c r="AI47" s="467"/>
      <c r="AJ47" s="467"/>
      <c r="AK47" s="467"/>
      <c r="AL47" s="467"/>
      <c r="AM47" s="467"/>
      <c r="AN47" s="467"/>
      <c r="AO47" s="467"/>
      <c r="AP47" s="468"/>
      <c r="AQ47" s="463"/>
      <c r="AR47" s="462"/>
      <c r="AS47" s="462"/>
      <c r="AT47" s="462"/>
      <c r="AU47" s="462"/>
      <c r="AV47" s="462"/>
    </row>
    <row r="48" spans="1:48" ht="12.75" hidden="1" customHeight="1">
      <c r="A48" s="455"/>
      <c r="B48" s="455"/>
      <c r="C48" s="456"/>
      <c r="D48" s="457"/>
      <c r="E48" s="457"/>
      <c r="F48" s="457"/>
      <c r="G48" s="458"/>
      <c r="H48" s="458"/>
      <c r="I48" s="458"/>
      <c r="J48" s="458"/>
      <c r="K48" s="459"/>
      <c r="L48" s="460"/>
      <c r="M48" s="462"/>
      <c r="N48" s="462"/>
      <c r="O48" s="462"/>
      <c r="P48" s="462"/>
      <c r="Q48" s="462"/>
      <c r="R48" s="462"/>
      <c r="S48" s="463"/>
      <c r="T48" s="463"/>
      <c r="U48" s="463"/>
      <c r="V48" s="464"/>
      <c r="W48" s="469" t="s">
        <v>229</v>
      </c>
      <c r="X48" s="463"/>
      <c r="Y48" s="463"/>
      <c r="Z48" s="463"/>
      <c r="AA48" s="463"/>
      <c r="AB48" s="463"/>
      <c r="AC48" s="463"/>
      <c r="AD48" s="464"/>
      <c r="AE48" s="467"/>
      <c r="AF48" s="467"/>
      <c r="AG48" s="467"/>
      <c r="AH48" s="467"/>
      <c r="AI48" s="467"/>
      <c r="AJ48" s="467"/>
      <c r="AK48" s="467"/>
      <c r="AL48" s="467"/>
      <c r="AM48" s="467"/>
      <c r="AN48" s="467"/>
      <c r="AO48" s="467"/>
      <c r="AP48" s="468"/>
      <c r="AQ48" s="463"/>
      <c r="AR48" s="462"/>
      <c r="AS48" s="462"/>
      <c r="AT48" s="462"/>
      <c r="AU48" s="462"/>
      <c r="AV48" s="462"/>
    </row>
    <row r="49" spans="1:48" ht="12.75" hidden="1" customHeight="1">
      <c r="A49" s="455"/>
      <c r="B49" s="455"/>
      <c r="C49" s="456"/>
      <c r="D49" s="457"/>
      <c r="E49" s="457"/>
      <c r="F49" s="457"/>
      <c r="G49" s="458"/>
      <c r="H49" s="458"/>
      <c r="I49" s="458"/>
      <c r="J49" s="458"/>
      <c r="K49" s="459"/>
      <c r="L49" s="460"/>
      <c r="M49" s="462"/>
      <c r="N49" s="462"/>
      <c r="O49" s="462"/>
      <c r="P49" s="462"/>
      <c r="Q49" s="462"/>
      <c r="R49" s="462"/>
      <c r="S49" s="463"/>
      <c r="T49" s="463"/>
      <c r="U49" s="463"/>
      <c r="V49" s="464"/>
      <c r="W49" s="468"/>
      <c r="X49" s="463" t="s">
        <v>230</v>
      </c>
      <c r="Y49" s="472">
        <f>IF(Y43="No",U4+N17,Y45)</f>
        <v>404.60000000000008</v>
      </c>
      <c r="Z49" s="473" t="s">
        <v>90</v>
      </c>
      <c r="AA49" s="474" t="s">
        <v>231</v>
      </c>
      <c r="AB49" s="475">
        <f>SUM(Y49:Y51)</f>
        <v>404.60000000000008</v>
      </c>
      <c r="AC49" s="476" t="s">
        <v>90</v>
      </c>
      <c r="AD49" s="464"/>
      <c r="AE49" s="467"/>
      <c r="AF49" s="467"/>
      <c r="AG49" s="467"/>
      <c r="AH49" s="467"/>
      <c r="AI49" s="467"/>
      <c r="AJ49" s="467"/>
      <c r="AK49" s="467"/>
      <c r="AL49" s="467"/>
      <c r="AM49" s="467"/>
      <c r="AN49" s="467"/>
      <c r="AO49" s="467"/>
      <c r="AP49" s="468"/>
      <c r="AQ49" s="463"/>
      <c r="AR49" s="462"/>
      <c r="AS49" s="462"/>
      <c r="AT49" s="462"/>
      <c r="AU49" s="462"/>
      <c r="AV49" s="462"/>
    </row>
    <row r="50" spans="1:48" ht="12.75" hidden="1" customHeight="1">
      <c r="A50" s="455"/>
      <c r="B50" s="455"/>
      <c r="C50" s="456"/>
      <c r="D50" s="457"/>
      <c r="E50" s="457"/>
      <c r="F50" s="457"/>
      <c r="G50" s="458"/>
      <c r="H50" s="458"/>
      <c r="I50" s="458"/>
      <c r="J50" s="458"/>
      <c r="K50" s="477"/>
      <c r="L50" s="478"/>
      <c r="M50" s="478"/>
      <c r="N50" s="478"/>
      <c r="O50" s="478"/>
      <c r="P50" s="478"/>
      <c r="Q50" s="478"/>
      <c r="R50" s="478"/>
      <c r="S50" s="478"/>
      <c r="T50" s="478"/>
      <c r="U50" s="478"/>
      <c r="V50" s="479"/>
      <c r="W50" s="468"/>
      <c r="X50" s="463" t="s">
        <v>232</v>
      </c>
      <c r="Y50" s="472">
        <f>IF(Y43="No",U5,0)</f>
        <v>0</v>
      </c>
      <c r="Z50" s="473" t="s">
        <v>90</v>
      </c>
      <c r="AA50" s="468"/>
      <c r="AB50" s="463"/>
      <c r="AC50" s="480"/>
      <c r="AD50" s="480"/>
      <c r="AE50" s="481"/>
      <c r="AF50" s="481"/>
      <c r="AG50" s="481"/>
      <c r="AH50" s="481"/>
      <c r="AI50" s="481"/>
      <c r="AJ50" s="481"/>
      <c r="AK50" s="481"/>
      <c r="AL50" s="481"/>
      <c r="AM50" s="481"/>
      <c r="AN50" s="481"/>
      <c r="AO50" s="481"/>
      <c r="AP50" s="482"/>
      <c r="AQ50" s="462"/>
      <c r="AR50" s="462"/>
      <c r="AS50" s="462"/>
      <c r="AT50" s="462"/>
      <c r="AU50" s="462"/>
      <c r="AV50" s="462"/>
    </row>
    <row r="51" spans="1:48" ht="12.75" hidden="1" customHeight="1">
      <c r="A51" s="455"/>
      <c r="B51" s="455"/>
      <c r="C51" s="456"/>
      <c r="D51" s="457"/>
      <c r="E51" s="457"/>
      <c r="F51" s="457"/>
      <c r="G51" s="458"/>
      <c r="H51" s="458"/>
      <c r="I51" s="458"/>
      <c r="J51" s="458"/>
      <c r="K51" s="466"/>
      <c r="L51" s="483"/>
      <c r="M51" s="483"/>
      <c r="N51" s="483"/>
      <c r="O51" s="483"/>
      <c r="P51" s="483"/>
      <c r="Q51" s="483"/>
      <c r="R51" s="483"/>
      <c r="S51" s="569"/>
      <c r="T51" s="570"/>
      <c r="U51" s="570"/>
      <c r="V51" s="571"/>
      <c r="W51" s="468"/>
      <c r="X51" s="463" t="s">
        <v>233</v>
      </c>
      <c r="Y51" s="472">
        <f>IF(Y43="No",U6,0)</f>
        <v>0</v>
      </c>
      <c r="Z51" s="473" t="s">
        <v>90</v>
      </c>
      <c r="AA51" s="484" t="s">
        <v>234</v>
      </c>
      <c r="AB51" s="485">
        <f>AB49*(Y40^2)/8</f>
        <v>3484.1117500000014</v>
      </c>
      <c r="AC51" s="479" t="s">
        <v>235</v>
      </c>
      <c r="AD51" s="480"/>
      <c r="AE51" s="486"/>
      <c r="AF51" s="487"/>
      <c r="AG51" s="487"/>
      <c r="AH51" s="487"/>
      <c r="AI51" s="487"/>
      <c r="AJ51" s="487"/>
      <c r="AK51" s="487"/>
      <c r="AL51" s="487"/>
      <c r="AM51" s="487"/>
      <c r="AN51" s="487"/>
      <c r="AO51" s="487"/>
      <c r="AP51" s="462"/>
      <c r="AQ51" s="462"/>
      <c r="AR51" s="462"/>
      <c r="AS51" s="462"/>
      <c r="AT51" s="462"/>
      <c r="AU51" s="462"/>
      <c r="AV51" s="462"/>
    </row>
    <row r="52" spans="1:48" ht="12.75" hidden="1" customHeight="1">
      <c r="A52" s="455"/>
      <c r="B52" s="455"/>
      <c r="C52" s="456"/>
      <c r="D52" s="457"/>
      <c r="E52" s="457"/>
      <c r="F52" s="457"/>
      <c r="G52" s="458"/>
      <c r="H52" s="458"/>
      <c r="I52" s="458"/>
      <c r="J52" s="458"/>
      <c r="K52" s="466"/>
      <c r="L52" s="466"/>
      <c r="M52" s="466"/>
      <c r="N52" s="466"/>
      <c r="O52" s="466"/>
      <c r="P52" s="466"/>
      <c r="Q52" s="466"/>
      <c r="R52" s="466"/>
      <c r="S52" s="463"/>
      <c r="T52" s="463"/>
      <c r="U52" s="463"/>
      <c r="V52" s="463"/>
      <c r="W52" s="468"/>
      <c r="X52" s="466"/>
      <c r="Y52" s="466"/>
      <c r="Z52" s="466"/>
      <c r="AA52" s="488"/>
      <c r="AB52" s="473"/>
      <c r="AC52" s="463"/>
      <c r="AD52" s="464"/>
      <c r="AE52" s="467"/>
      <c r="AF52" s="467"/>
      <c r="AG52" s="467"/>
      <c r="AH52" s="467"/>
      <c r="AI52" s="467"/>
      <c r="AJ52" s="467"/>
      <c r="AK52" s="467"/>
      <c r="AL52" s="467"/>
      <c r="AM52" s="467"/>
      <c r="AN52" s="467"/>
      <c r="AO52" s="467"/>
      <c r="AP52" s="468"/>
      <c r="AQ52" s="463"/>
      <c r="AR52" s="462"/>
      <c r="AS52" s="462"/>
      <c r="AT52" s="462"/>
      <c r="AU52" s="462"/>
      <c r="AV52" s="462"/>
    </row>
    <row r="53" spans="1:48" ht="12.75" hidden="1" customHeight="1">
      <c r="A53" s="455"/>
      <c r="B53" s="455"/>
      <c r="C53" s="456"/>
      <c r="D53" s="457"/>
      <c r="E53" s="457"/>
      <c r="F53" s="457"/>
      <c r="G53" s="458"/>
      <c r="H53" s="458"/>
      <c r="I53" s="458"/>
      <c r="J53" s="458"/>
      <c r="K53" s="489" t="s">
        <v>236</v>
      </c>
      <c r="L53" s="466"/>
      <c r="M53" s="466"/>
      <c r="N53" s="466"/>
      <c r="O53" s="466"/>
      <c r="P53" s="466"/>
      <c r="Q53" s="466"/>
      <c r="R53" s="466"/>
      <c r="S53" s="463"/>
      <c r="T53" s="463"/>
      <c r="U53" s="463"/>
      <c r="V53" s="463"/>
      <c r="W53" s="459"/>
      <c r="X53" s="466"/>
      <c r="Y53" s="466"/>
      <c r="Z53" s="466"/>
      <c r="AA53" s="462"/>
      <c r="AB53" s="463"/>
      <c r="AC53" s="463"/>
      <c r="AD53" s="464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8"/>
      <c r="AQ53" s="463"/>
      <c r="AR53" s="462"/>
      <c r="AS53" s="462"/>
      <c r="AT53" s="462"/>
      <c r="AU53" s="462"/>
      <c r="AV53" s="462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191</v>
      </c>
      <c r="M55" s="379">
        <f>1.2*S16+1.6*(MAX(S17:S18))+0.8*(MIN(S17:S18))</f>
        <v>17517.195359999998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>
        <f>1.2*Y49+1.6*Y50+0.5*Y51</f>
        <v>485.5200000000001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240</v>
      </c>
      <c r="M56" s="185">
        <f>Q7*M5</f>
        <v>183</v>
      </c>
      <c r="N56" s="185" t="s">
        <v>198</v>
      </c>
      <c r="O56" s="175"/>
      <c r="P56" s="211" t="s">
        <v>241</v>
      </c>
      <c r="Q56" s="381">
        <f>0.8*(0.8*M10*(M56-M32)+(M33*M32))*(1-(M59/140)^2)</f>
        <v>138645.74935371825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>
        <f>1.2*Y49+1.6*Y51+Z54*Y50</f>
        <v>485.5200000000001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244</v>
      </c>
      <c r="M57" s="265">
        <f>Q7*M5^3/12</f>
        <v>886.64453125</v>
      </c>
      <c r="N57" s="185" t="s">
        <v>245</v>
      </c>
      <c r="O57" s="175"/>
      <c r="P57" s="211" t="s">
        <v>241</v>
      </c>
      <c r="Q57" s="381">
        <f>0.8*(0.8*M10*(M56-M32)+(M33*M32))*(70/M59)^2</f>
        <v>139043.92888426999</v>
      </c>
      <c r="R57" s="175" t="s">
        <v>246</v>
      </c>
      <c r="S57" s="207"/>
      <c r="T57" s="207"/>
      <c r="U57" s="207"/>
      <c r="V57" s="207"/>
      <c r="W57" s="176"/>
      <c r="X57" s="223" t="str">
        <f>IF(Y56&gt;Y55,X56,X55)</f>
        <v>1.2 D + 1.6 L + 0.5 S</v>
      </c>
      <c r="Y57" s="382">
        <f>MAX(Y55:Y56)</f>
        <v>485.5200000000001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247</v>
      </c>
      <c r="M58" s="246">
        <f>SQRT(M57/M56)</f>
        <v>2.2011479012854482</v>
      </c>
      <c r="N58" s="185"/>
      <c r="O58" s="175"/>
      <c r="P58" s="384" t="s">
        <v>241</v>
      </c>
      <c r="Q58" s="385">
        <f>IF(M59&lt;99,Q56,Q57)</f>
        <v>138645.74935371825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248</v>
      </c>
      <c r="M59" s="246">
        <f>M4*12/M58</f>
        <v>96.309748143774812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>
        <f>(Y57*Y40^2)/8</f>
        <v>4180.9341000000013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>
        <f>Y57*Y40/2</f>
        <v>2014.9080000000006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>
        <f>M5*Q3</f>
        <v>122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>
        <f>MIN(Y59*12/(Y60*Q3),1)</f>
        <v>1</v>
      </c>
      <c r="Z65" s="207"/>
      <c r="AA65" s="207"/>
      <c r="AB65" s="186" t="s">
        <v>174</v>
      </c>
      <c r="AC65" s="362">
        <f ca="1">0.6*0.6*S149*M5*(Q7-3/8)</f>
        <v>192779.97775439286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>
        <f>(4-1.75*Y65)*Y64*SQRT(M10)</f>
        <v>12276.013196473847</v>
      </c>
      <c r="Z66" s="396" t="s">
        <v>148</v>
      </c>
      <c r="AA66" s="207"/>
      <c r="AB66" s="207" t="s">
        <v>256</v>
      </c>
      <c r="AC66" s="207" t="str">
        <f ca="1">IF(AC65&gt;Y60,"PASS","FAIL")</f>
        <v>PASS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257</v>
      </c>
      <c r="M67" s="320">
        <f>N14</f>
        <v>27.802229508196724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str">
        <f ca="1">IF(AC66="pass","---","Increase bearing area")</f>
        <v>---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259</v>
      </c>
      <c r="M68" s="320">
        <f>M55/M56</f>
        <v>95.722379016393432</v>
      </c>
      <c r="N68" s="185"/>
      <c r="O68" s="185"/>
      <c r="P68" s="207"/>
      <c r="Q68" s="175"/>
      <c r="R68" s="186" t="s">
        <v>188</v>
      </c>
      <c r="S68" s="397">
        <f ca="1">5*R28*(M4*12)^2/(48*57000*SQRT(M10)*M57)</f>
        <v>1.3648797568928143E-2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261</v>
      </c>
      <c r="M69" s="185">
        <f>0.2*M10</f>
        <v>400</v>
      </c>
      <c r="N69" s="185" t="str">
        <f>IF(M68&gt;M69,"Column to Small","Column Size Okay")</f>
        <v>Column Size Okay</v>
      </c>
      <c r="O69" s="185"/>
      <c r="P69" s="207"/>
      <c r="Q69" s="175"/>
      <c r="R69" s="186" t="s">
        <v>262</v>
      </c>
      <c r="S69" s="397">
        <f>(1/2*M5)+0.5</f>
        <v>4.3125</v>
      </c>
      <c r="T69" s="207" t="s">
        <v>82</v>
      </c>
      <c r="U69" s="207"/>
      <c r="V69" s="207"/>
      <c r="W69" s="231"/>
      <c r="X69" s="211" t="s">
        <v>263</v>
      </c>
      <c r="Y69" s="186">
        <f>0.0007*M5*Q3</f>
        <v>8.5400000000000004E-2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264</v>
      </c>
      <c r="M70" s="185">
        <f>0.05*M10</f>
        <v>100</v>
      </c>
      <c r="N70" s="185" t="str">
        <f>IF(M68&gt;M70,"Column to Small","Column Size Okay")</f>
        <v>Column Size Okay</v>
      </c>
      <c r="O70" s="185"/>
      <c r="P70" s="207"/>
      <c r="Q70" s="175"/>
      <c r="R70" s="186" t="s">
        <v>265</v>
      </c>
      <c r="S70" s="313">
        <f ca="1">((M55*S69)+(M55*S68))/12</f>
        <v>6315.1661369536669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8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str">
        <f>IF(M67&gt;30,N70,N69)</f>
        <v>Column Size Okay</v>
      </c>
      <c r="O71" s="399"/>
      <c r="P71" s="185"/>
      <c r="Q71" s="400"/>
      <c r="R71" s="401" t="s">
        <v>265</v>
      </c>
      <c r="S71" s="402">
        <f>IF(M67&gt;30,S70,0)</f>
        <v>0</v>
      </c>
      <c r="T71" s="403" t="s">
        <v>194</v>
      </c>
      <c r="U71" s="185"/>
      <c r="V71" s="185"/>
      <c r="W71" s="188"/>
      <c r="X71" s="211" t="s">
        <v>267</v>
      </c>
      <c r="Y71" s="175">
        <f>IF(0.8*Y66&gt;Y60,0,Y60/0.8-Y66)</f>
        <v>0</v>
      </c>
      <c r="Z71" s="175" t="s">
        <v>148</v>
      </c>
      <c r="AA71" s="175" t="s">
        <v>256</v>
      </c>
      <c r="AB71" s="185" t="str">
        <f>IF(Y71=0,"Not Req'd","Req'd")</f>
        <v>Not Req'd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str">
        <f>IF(Y71=0,"-",IF(Y74&gt;Y69,IF(Y71=0,"-",MIN(Y70,ROUNDDOWN(Y74*U10*Q3/(2*Y71/1000),0))),"-"))</f>
        <v>-</v>
      </c>
      <c r="AA74" s="409">
        <v>0.22</v>
      </c>
      <c r="AB74" s="410" t="str">
        <f>IF(Y71=0,"-",IF(AA74&gt;Y69,IF(Y71=0,"-",MIN(Y70,ROUNDDOWN(AA74*U10*Q3/(2*Y71/1000),0))),"-"))</f>
        <v>-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274</v>
      </c>
      <c r="M75" s="265">
        <f ca="1">MAX(MAX(R28:R29),ABS(MIN(R28:R29)))+S71</f>
        <v>6589.7065404150362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str">
        <f>IF(Y71=0,"-",IF(Y75&gt;Y69,IF(Y71=0,"-",MIN(Y70,ROUNDDOWN(Y75*U10*Q3/(2*Y71/1000),0))),"-"))</f>
        <v>-</v>
      </c>
      <c r="AA75" s="413">
        <v>0.4</v>
      </c>
      <c r="AB75" s="201" t="str">
        <f>IF(Y71=0,"-",IF(AA75&gt;Y69,IF(Y71=0,"-",MIN(Y70,ROUNDDOWN(AA75*U10*Q3/(2*Y71/1000),0))),"-"))</f>
        <v>-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275</v>
      </c>
      <c r="M76" s="265">
        <f ca="1">R30</f>
        <v>1489.204721508718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str">
        <f>IF(Y71=0,"-",IF(Y76&gt;Y69,IF(Y71=0,"-",MIN(Y70,ROUNDDOWN(Y76*U10*Q3/(2*Y71/1000),0))),"-"))</f>
        <v>-</v>
      </c>
      <c r="AA76" s="415">
        <v>0.62</v>
      </c>
      <c r="AB76" s="339" t="str">
        <f>IF(Y71=0,"-",IF(AA76&gt;Y69,IF(Y71=0,"-",MIN(Y70,ROUNDDOWN(AA76*U10*Q3/(2*Y71/1000),0))),"-"))</f>
        <v>-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276</v>
      </c>
      <c r="M77" s="356">
        <f ca="1">M75/(M76*M5)</f>
        <v>0.5803257242586991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277</v>
      </c>
      <c r="M78" s="265">
        <f>6*M56*SQRT(M10)</f>
        <v>49104.052785895386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278</v>
      </c>
      <c r="M79" s="265">
        <f ca="1">(M80-M78)/(0.75)*(M77-0.25)+M78</f>
        <v>41895.016430100593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>
        <f>0.8*(Y71+Y66)</f>
        <v>9820.8105571790784</v>
      </c>
      <c r="Z79" s="396" t="s">
        <v>148</v>
      </c>
      <c r="AA79" s="185" t="s">
        <v>256</v>
      </c>
      <c r="AB79" s="185" t="str">
        <f>IF(Y79&gt;=Y60,"PASS","FAIL")</f>
        <v>PASS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279</v>
      </c>
      <c r="M80" s="265">
        <f>4*M56*SQRT(M10)</f>
        <v>32736.035190596922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280</v>
      </c>
      <c r="M81" s="419">
        <f ca="1">IF(M77&lt;=0.25,M78,IF(M77&lt;=1,M79,M80))</f>
        <v>41895.016430100593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12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>
        <f>(VLOOKUP(Q5,X26:Y32,2,FALSE))*Q4</f>
        <v>0.62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>
        <f>Y83*Y84/(0.8*M10*Q3)</f>
        <v>1.453125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181</v>
      </c>
      <c r="M86" s="265">
        <f ca="1">R28+S71</f>
        <v>6589.7065404150362</v>
      </c>
      <c r="N86" s="186" t="s">
        <v>143</v>
      </c>
      <c r="O86" s="265">
        <f>0.9*P35</f>
        <v>11577.866464215365</v>
      </c>
      <c r="P86" s="293">
        <f t="shared" ref="P86:P89" ca="1" si="17">O86/M86</f>
        <v>1.7569623765804543</v>
      </c>
      <c r="Q86" s="185" t="str">
        <f t="shared" ref="Q86:Q89" ca="1" si="18">IF(P86&lt;1,"FAILS","PASS")</f>
        <v>PASS</v>
      </c>
      <c r="R86" s="185" t="str">
        <f>Q34</f>
        <v>Tension Controls</v>
      </c>
      <c r="S86" s="185"/>
      <c r="T86" s="185"/>
      <c r="U86" s="185"/>
      <c r="V86" s="185"/>
      <c r="W86" s="312"/>
      <c r="X86" s="378" t="s">
        <v>143</v>
      </c>
      <c r="Y86" s="417">
        <f>0.9*(Y83*Y84*(Y82-Y85/2))/12</f>
        <v>31452.890625</v>
      </c>
      <c r="Z86" s="396" t="s">
        <v>235</v>
      </c>
      <c r="AA86" s="185" t="s">
        <v>256</v>
      </c>
      <c r="AB86" s="185" t="str">
        <f>IF(Y86&gt;Y59,"PASS","FAIL")</f>
        <v>PASS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183</v>
      </c>
      <c r="M87" s="265">
        <f ca="1">IF(R29=0,0.01,ABS(R29))</f>
        <v>0.14883412450126782</v>
      </c>
      <c r="N87" s="186" t="s">
        <v>143</v>
      </c>
      <c r="O87" s="265">
        <f>0.9*P35</f>
        <v>11577.866464215365</v>
      </c>
      <c r="P87" s="313">
        <f t="shared" ca="1" si="17"/>
        <v>77790.402590883925</v>
      </c>
      <c r="Q87" s="185" t="str">
        <f t="shared" ca="1" si="18"/>
        <v>PASS</v>
      </c>
      <c r="R87" s="185" t="str">
        <f>Q34</f>
        <v>Tension Controls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150</v>
      </c>
      <c r="M88" s="265">
        <f ca="1">R30</f>
        <v>1489.204721508718</v>
      </c>
      <c r="N88" s="186" t="s">
        <v>151</v>
      </c>
      <c r="O88" s="265">
        <f ca="1">0.8*M81</f>
        <v>33516.013144080476</v>
      </c>
      <c r="P88" s="293">
        <f t="shared" ca="1" si="17"/>
        <v>22.505980984350693</v>
      </c>
      <c r="Q88" s="185" t="str">
        <f t="shared" ca="1" si="18"/>
        <v>PASS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191</v>
      </c>
      <c r="M89" s="185">
        <f>M55</f>
        <v>17517.195359999998</v>
      </c>
      <c r="N89" s="186" t="s">
        <v>192</v>
      </c>
      <c r="O89" s="265">
        <f>0.9*Q58</f>
        <v>124781.17441834642</v>
      </c>
      <c r="P89" s="293">
        <f t="shared" si="17"/>
        <v>7.1233534737690132</v>
      </c>
      <c r="Q89" s="185" t="str">
        <f t="shared" si="18"/>
        <v>PASS</v>
      </c>
      <c r="R89" s="185" t="str">
        <f>IF(M67&gt;30,"Includes Slender Provisons","No Slender Provisions")</f>
        <v>No Slender Provisions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>
        <f>M5*(Q3^2)/6</f>
        <v>325.33333333333331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>
        <f>Y89*Y90/12</f>
        <v>5422.2222222222217</v>
      </c>
      <c r="Z91" s="185" t="s">
        <v>235</v>
      </c>
      <c r="AA91" s="185" t="s">
        <v>256</v>
      </c>
      <c r="AB91" s="185" t="str">
        <f>IF(Y86/0.9&gt;=1.3*Y91,"PASS","FAIL")</f>
        <v>PASS</v>
      </c>
      <c r="AC91" s="185" t="str">
        <f>IF(AB91="Pass","---","Increase reinforcing or depth")</f>
        <v>---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85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295</v>
      </c>
      <c r="M94" s="430">
        <f ca="1">S21+S22</f>
        <v>168.27109999999999</v>
      </c>
      <c r="N94" s="427"/>
      <c r="O94" s="428" t="s">
        <v>295</v>
      </c>
      <c r="P94" s="427">
        <f>S19+S20</f>
        <v>128.75</v>
      </c>
      <c r="Q94" s="428"/>
      <c r="R94" s="428"/>
      <c r="S94" s="428"/>
      <c r="T94" s="185"/>
      <c r="U94" s="185"/>
      <c r="V94" s="185"/>
      <c r="W94" s="188"/>
      <c r="X94" s="186" t="s">
        <v>167</v>
      </c>
      <c r="Y94" s="431">
        <f>0.64*M10/(U10*1000)*(0.0025/(1.5*U10/29000+0.0025))*M5*Q3</f>
        <v>1.1611897435897436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296</v>
      </c>
      <c r="M95" s="432">
        <f>M8</f>
        <v>17.699999899999998</v>
      </c>
      <c r="N95" s="427"/>
      <c r="O95" s="428" t="s">
        <v>297</v>
      </c>
      <c r="P95" s="427">
        <f>S19+S20</f>
        <v>128.75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256</v>
      </c>
      <c r="AB95" s="185" t="str">
        <f>IF(Y83&lt;Y94,"PASS","FAIL")</f>
        <v>PASS</v>
      </c>
      <c r="AC95" s="185" t="str">
        <f>IF(AB95="PASS","---","Reduce reinf or increase depth")</f>
        <v>---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199</v>
      </c>
      <c r="M96" s="432">
        <f>M4-M8</f>
        <v>-3.3999899999997751E-2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300</v>
      </c>
      <c r="M98" s="433">
        <f ca="1">M94*($M$95+$M$96)^2/(2*$M$95)</f>
        <v>1483.483520935828</v>
      </c>
      <c r="N98" s="427"/>
      <c r="O98" s="428" t="s">
        <v>300</v>
      </c>
      <c r="P98" s="433">
        <f>P94*($M$95+$M$96)^2/(2*$M$95)+P95*M96*(2*M95+M96)/(2*M95)</f>
        <v>1130.6909280201469</v>
      </c>
      <c r="Q98" s="428"/>
      <c r="R98" s="428"/>
      <c r="S98" s="428"/>
      <c r="T98" s="185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302</v>
      </c>
      <c r="M99" s="433">
        <f ca="1">M94*($M$95^2-$M$96^2)/(2*$M$95)</f>
        <v>1489.1937316641718</v>
      </c>
      <c r="N99" s="427"/>
      <c r="O99" s="428" t="s">
        <v>302</v>
      </c>
      <c r="P99" s="433">
        <f>P94*($M$95^2-$M$96^2)/(2*$M$95)-P95*M96^2/(2*M95)</f>
        <v>1139.4290848548533</v>
      </c>
      <c r="Q99" s="428"/>
      <c r="R99" s="428"/>
      <c r="S99" s="428"/>
      <c r="T99" s="185"/>
      <c r="U99" s="185"/>
      <c r="V99" s="185"/>
      <c r="W99" s="188"/>
      <c r="X99" s="211" t="s">
        <v>303</v>
      </c>
      <c r="Y99" s="404">
        <f>Y82*SQRT(2*Y98*Y83/(M5*Y82)+(Y98*Y83/(M5*Y82))^2)-Y98*Y83/(M5*Y82)</f>
        <v>5.6490072974592103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304</v>
      </c>
      <c r="M100" s="433">
        <f ca="1">M94*(M95+M96)</f>
        <v>2972.6772526</v>
      </c>
      <c r="N100" s="427"/>
      <c r="O100" s="428" t="s">
        <v>304</v>
      </c>
      <c r="P100" s="434">
        <f>P94*(M95+M96)+P95*M96</f>
        <v>2270.1200128750002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305</v>
      </c>
      <c r="Y101" s="265">
        <f>M5*(Q3^3)/12</f>
        <v>2602.6666666666665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308</v>
      </c>
      <c r="Y102" s="265">
        <f>M5*(Y99^3)/3+Y98*Y83*(Y82-Y99)^2</f>
        <v>861.0817259063399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>
        <f ca="1">M99</f>
        <v>1489.1937316641718</v>
      </c>
      <c r="O103" s="437">
        <f>P99</f>
        <v>1139.4290848548533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309</v>
      </c>
      <c r="Y103" s="362">
        <f>(Y91/AB51)^3*Y101+(1-(Y91/AB51)^3)*Y102</f>
        <v>7425.5623361266398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17.699999899999998</v>
      </c>
      <c r="N104" s="437">
        <f ca="1">N103-M94*M95</f>
        <v>-1489.204721508718</v>
      </c>
      <c r="O104" s="437">
        <f>O103-P94*M95</f>
        <v>-1139.4459022701465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17.699999899999998</v>
      </c>
      <c r="N105" s="437">
        <f ca="1">M94*M96</f>
        <v>-5.7212005728896216</v>
      </c>
      <c r="O105" s="437">
        <f>P94*M96+P95*M96</f>
        <v>-8.754974249999421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163</v>
      </c>
      <c r="Y105" s="175">
        <f>M7*12/600</f>
        <v>0.126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17.666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162</v>
      </c>
      <c r="Y106" s="320">
        <f>(5*AB49/12*(M7*12)^4)/(384*900*M10*Y103)</f>
        <v>1.0729234588724519E-3</v>
      </c>
      <c r="Z106" s="185" t="s">
        <v>82</v>
      </c>
      <c r="AA106" s="185" t="s">
        <v>256</v>
      </c>
      <c r="AB106" s="185" t="str">
        <f>IF(Y106&lt;Y105,"PASS","FAIL")</f>
        <v>PASS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310</v>
      </c>
      <c r="Y107" s="362">
        <f>Y40*12/Y106</f>
        <v>92830.48028856676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312</v>
      </c>
      <c r="M109" s="438">
        <f>(M95/2)*(1-M96^2/M95^2)</f>
        <v>8.8499672948246726</v>
      </c>
      <c r="N109" s="437">
        <f ca="1">M94*(M95+M96)^2*(M95-M96)^2/(8*M95^2)</f>
        <v>6589.6579104429156</v>
      </c>
      <c r="O109" s="437">
        <f>P94*(M95+M96)^2*(M95-M96)^2/(8*M95^2)-P95*M96^2*M109/(2*M95)</f>
        <v>5041.9364636718146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313</v>
      </c>
      <c r="M110" s="438">
        <f>M95</f>
        <v>17.699999899999998</v>
      </c>
      <c r="N110" s="437">
        <f ca="1">-M94*M96^2/2</f>
        <v>-9.7260123679088484E-2</v>
      </c>
      <c r="O110" s="437">
        <f>-P94*M96^2/2-P95*M96^2/2</f>
        <v>-0.14883412450126782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315</v>
      </c>
      <c r="M115" s="430">
        <f t="shared" ref="M115:M116" ca="1" si="19">S21</f>
        <v>65.347999999999999</v>
      </c>
      <c r="N115" s="427"/>
      <c r="O115" s="428" t="s">
        <v>315</v>
      </c>
      <c r="P115" s="427">
        <f t="shared" ref="P115:P116" si="20">S19</f>
        <v>50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316</v>
      </c>
      <c r="M116" s="430">
        <f t="shared" ca="1" si="19"/>
        <v>102.92309999999999</v>
      </c>
      <c r="N116" s="427"/>
      <c r="O116" s="428" t="s">
        <v>316</v>
      </c>
      <c r="P116" s="427">
        <f t="shared" si="20"/>
        <v>78.75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296</v>
      </c>
      <c r="M117" s="432">
        <f>M8</f>
        <v>17.699999899999998</v>
      </c>
      <c r="N117" s="427"/>
      <c r="O117" s="428" t="s">
        <v>317</v>
      </c>
      <c r="P117" s="427">
        <f>P95</f>
        <v>128.75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199</v>
      </c>
      <c r="M118" s="432">
        <f>M4-M8</f>
        <v>-3.3999899999997751E-2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202</v>
      </c>
      <c r="M119" s="432">
        <f>M8-M6</f>
        <v>10.399999899999997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208</v>
      </c>
      <c r="M120" s="432">
        <f>M118+M119</f>
        <v>10.366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300</v>
      </c>
      <c r="M122" s="433">
        <f ca="1">(M115*($M$117+$M$118)^2/2+M116*$M$120*($M$117-$M$119+$M$120/2))/$M$117</f>
        <v>1328.5464579418331</v>
      </c>
      <c r="N122" s="427"/>
      <c r="O122" s="428" t="s">
        <v>300</v>
      </c>
      <c r="P122" s="433">
        <f>(P115*($M$117+$M$118)^2/2+P116*$M$120*($M$117-$M$119+$M$120/2)+P117*M118*(M117+M118/2))/$M$117</f>
        <v>1012.1432578588606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302</v>
      </c>
      <c r="M123" s="433">
        <f ca="1">M124-M122</f>
        <v>892.79216465816671</v>
      </c>
      <c r="N123" s="427">
        <f ca="1">(M115*(M117+M118)*(M117-(M117+M118)/2)-M116*M120*(M118-M120/2))/M117</f>
        <v>892.79216465816671</v>
      </c>
      <c r="O123" s="428" t="s">
        <v>302</v>
      </c>
      <c r="P123" s="433">
        <f>P124-P122</f>
        <v>683.10175501613958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304</v>
      </c>
      <c r="M124" s="433">
        <f ca="1">M115*(M117+M118)+M116*M120</f>
        <v>2221.3386225999998</v>
      </c>
      <c r="N124" s="427"/>
      <c r="O124" s="428" t="s">
        <v>304</v>
      </c>
      <c r="P124" s="433">
        <f>P115*(M117+M118)+P116*M120+P117*M118</f>
        <v>1695.2450128750002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>
        <f ca="1">M123</f>
        <v>892.79216465816671</v>
      </c>
      <c r="O127" s="437">
        <f>P123</f>
        <v>683.10175501613958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7.3000000000000007</v>
      </c>
      <c r="N128" s="437">
        <f ca="1">N127-M115*M128</f>
        <v>415.75176465816668</v>
      </c>
      <c r="O128" s="437">
        <f>O127-P115*M128</f>
        <v>318.10175501613952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17.699999899999998</v>
      </c>
      <c r="N129" s="437">
        <f ca="1">N128-(M115+M116)*M119</f>
        <v>-1334.2676585147228</v>
      </c>
      <c r="O129" s="437">
        <f>O128-(P115+P116)*M119</f>
        <v>-1020.8982321088602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17.699999899999998</v>
      </c>
      <c r="N130" s="437">
        <f ca="1">N129+M122</f>
        <v>-5.7212005728897566</v>
      </c>
      <c r="O130" s="437">
        <f>O129+P122</f>
        <v>-8.7549742499995773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17.666</v>
      </c>
      <c r="N131" s="437">
        <f ca="1">N130-(M115+M116)*M118</f>
        <v>-1.3500311979441904E-13</v>
      </c>
      <c r="O131" s="437">
        <f>O130-(P115+P116+P117)*M118</f>
        <v>-1.5631940186722204E-13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318</v>
      </c>
      <c r="M136" s="438">
        <f ca="1">M123/M115</f>
        <v>13.662119187399258</v>
      </c>
      <c r="N136" s="437">
        <f ca="1">N127*M136/2</f>
        <v>6098.716481568028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319</v>
      </c>
      <c r="M137" s="438">
        <f>P123/P115</f>
        <v>13.662035100322791</v>
      </c>
      <c r="N137" s="437" t="s">
        <v>144</v>
      </c>
      <c r="O137" s="437">
        <f>P123*M137/2</f>
        <v>4666.2800770612994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7.3000000000000007</v>
      </c>
      <c r="N138" s="437">
        <f ca="1">N136+N128*(M138-M136)/2</f>
        <v>4776.1853420046173</v>
      </c>
      <c r="O138" s="437">
        <f>O137+O128*(M138-M137)/2</f>
        <v>3654.392811617819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17.699999899999998</v>
      </c>
      <c r="N139" s="437">
        <f ca="1">N138+(N129-N128)*M119/2+N128*M119</f>
        <v>-9.7260123679006938E-2</v>
      </c>
      <c r="O139" s="437">
        <f>O138+(O129-O128)*M119/2+O128*M119</f>
        <v>-0.14883412450353717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17.666</v>
      </c>
      <c r="N140" s="437">
        <f ca="1">N139+N130*M118/2</f>
        <v>8.3849593934814948E-14</v>
      </c>
      <c r="O140" s="437">
        <f>O139+O130*M118/2</f>
        <v>-2.2666868382259509E-12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328</v>
      </c>
      <c r="M145" s="451">
        <f ca="1">M94*M95^2/8</f>
        <v>6589.7065404150362</v>
      </c>
      <c r="N145" s="451">
        <f>P94*M95^2/8</f>
        <v>5042.0108805281243</v>
      </c>
      <c r="O145" s="451">
        <f ca="1">M115*M95^2/8+(M116*M119*(2*M117-M119)/(2*M117))^2/(2*M116)</f>
        <v>5335.1321301226271</v>
      </c>
      <c r="P145" s="451">
        <f>P115*M95^2/8+(P116*M119*(2*M117-M119)/(2*M117))^2/(2*P116)</f>
        <v>4082.092895056182</v>
      </c>
      <c r="Q145" s="452">
        <f ca="1">MAX(M145:N146)</f>
        <v>6589.7065404150362</v>
      </c>
      <c r="R145" s="452">
        <f ca="1">MAX(O145:P146)</f>
        <v>6098.716481568028</v>
      </c>
      <c r="S145" s="452">
        <f ca="1">IF($M$142=TRUE,Q145,R145)</f>
        <v>6589.7065404150362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329</v>
      </c>
      <c r="M146" s="451">
        <f t="shared" ref="M146:N146" ca="1" si="22">N109</f>
        <v>6589.6579104429156</v>
      </c>
      <c r="N146" s="451">
        <f t="shared" si="22"/>
        <v>5041.9364636718146</v>
      </c>
      <c r="O146" s="451">
        <f t="shared" ref="O146:P146" ca="1" si="23">MAX(N135:N140)</f>
        <v>6098.716481568028</v>
      </c>
      <c r="P146" s="451">
        <f t="shared" si="23"/>
        <v>4666.2800770612994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330</v>
      </c>
      <c r="M147" s="451">
        <f t="shared" ref="M147:N147" ca="1" si="24">N110</f>
        <v>-9.7260123679088484E-2</v>
      </c>
      <c r="N147" s="451">
        <f t="shared" si="24"/>
        <v>-0.14883412450126782</v>
      </c>
      <c r="O147" s="451">
        <f t="shared" ref="O147:P147" ca="1" si="25">MIN(N135:N140)</f>
        <v>-9.7260123679006938E-2</v>
      </c>
      <c r="P147" s="451">
        <f t="shared" si="25"/>
        <v>-0.14883412450353717</v>
      </c>
      <c r="Q147" s="452">
        <f ca="1">MIN(M147:N147)</f>
        <v>-0.14883412450126782</v>
      </c>
      <c r="R147" s="452">
        <f ca="1">MIN(O147:P147)</f>
        <v>-0.14883412450353717</v>
      </c>
      <c r="S147" s="452">
        <f t="shared" ref="S147:S149" ca="1" si="26">IF($M$142=TRUE,Q147,R147)</f>
        <v>-0.14883412450126782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331</v>
      </c>
      <c r="M148" s="451">
        <f t="shared" ref="M148:N148" ca="1" si="27">MAX(MAX(N103:N106),ABS(MIN(N103:N106)))</f>
        <v>1489.204721508718</v>
      </c>
      <c r="N148" s="451">
        <f t="shared" si="27"/>
        <v>1139.4459022701465</v>
      </c>
      <c r="O148" s="451">
        <f t="shared" ref="O148:P148" ca="1" si="28">MAX(MAX(N127:N131),ABS(MIN(N127:N131)))</f>
        <v>1334.2676585147228</v>
      </c>
      <c r="P148" s="451">
        <f t="shared" si="28"/>
        <v>1020.8982321088602</v>
      </c>
      <c r="Q148" s="452">
        <f t="shared" ref="Q148:Q149" ca="1" si="29">MAX(M148:N148)</f>
        <v>1489.204721508718</v>
      </c>
      <c r="R148" s="452">
        <f t="shared" ref="R148:R149" ca="1" si="30">MAX(O148:P148)</f>
        <v>1334.2676585147228</v>
      </c>
      <c r="S148" s="452">
        <f t="shared" ca="1" si="26"/>
        <v>1489.204721508718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332</v>
      </c>
      <c r="M149" s="451">
        <f ca="1">M100</f>
        <v>2972.6772526</v>
      </c>
      <c r="N149" s="451">
        <f>P100</f>
        <v>2270.1200128750002</v>
      </c>
      <c r="O149" s="451">
        <f ca="1">M124</f>
        <v>2221.3386225999998</v>
      </c>
      <c r="P149" s="451">
        <f>P124</f>
        <v>1695.2450128750002</v>
      </c>
      <c r="Q149" s="452">
        <f t="shared" ca="1" si="29"/>
        <v>2972.6772526</v>
      </c>
      <c r="R149" s="452">
        <f t="shared" ca="1" si="30"/>
        <v>2221.3386225999998</v>
      </c>
      <c r="S149" s="452">
        <f t="shared" ca="1" si="26"/>
        <v>2972.6772526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80" priority="9">
      <formula>LEN(TRIM(B28))&gt;0</formula>
    </cfRule>
  </conditionalFormatting>
  <conditionalFormatting sqref="D23:D24 D31:D34">
    <cfRule type="cellIs" dxfId="79" priority="8" operator="lessThan">
      <formula>B23</formula>
    </cfRule>
  </conditionalFormatting>
  <conditionalFormatting sqref="F6:F9 I6:I11 C6:C12 F11:F14">
    <cfRule type="expression" dxfId="78" priority="10">
      <formula>_xludf.isformula(C6)=FALSE</formula>
    </cfRule>
  </conditionalFormatting>
  <conditionalFormatting sqref="G6:G8">
    <cfRule type="notContainsBlanks" dxfId="77" priority="7">
      <formula>LEN(TRIM(G6))&gt;0</formula>
    </cfRule>
  </conditionalFormatting>
  <conditionalFormatting sqref="I44">
    <cfRule type="cellIs" dxfId="76" priority="6" operator="notEqual">
      <formula>"OK"</formula>
    </cfRule>
  </conditionalFormatting>
  <conditionalFormatting sqref="AJ15:AJ20 AJ24:AJ27">
    <cfRule type="cellIs" dxfId="75" priority="1" operator="equal">
      <formula>"PASS"</formula>
    </cfRule>
  </conditionalFormatting>
  <conditionalFormatting sqref="AM11">
    <cfRule type="cellIs" dxfId="74" priority="2" operator="equal">
      <formula>"OK"</formula>
    </cfRule>
    <cfRule type="cellIs" dxfId="73" priority="3" operator="equal">
      <formula>"TRUE"</formula>
    </cfRule>
    <cfRule type="cellIs" dxfId="72" priority="4" operator="equal">
      <formula>"PASS"</formula>
    </cfRule>
  </conditionalFormatting>
  <dataValidations disablePrompts="1" count="2">
    <dataValidation type="list" allowBlank="1" sqref="C7" xr:uid="{00000000-0002-0000-0300-000000000000}">
      <formula1>$X$5:$X$8</formula1>
    </dataValidation>
    <dataValidation type="list" allowBlank="1" sqref="C11" xr:uid="{00000000-0002-0000-0300-000001000000}">
      <formula1>$X$13:$X$19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AV149"/>
  <sheetViews>
    <sheetView zoomScaleNormal="100" workbookViewId="0">
      <selection activeCell="AX7" sqref="AX7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</row>
    <row r="2" spans="1:48" ht="15.75" customHeight="1">
      <c r="A2" s="572" t="str">
        <f>MODULEINPUT!$A$3&amp; ": LINTEL DESIGN FOR "&amp;MODULEINPUT!A23</f>
        <v xml:space="preserve">CREECH DRP PH2 - LEVEL 2 OPENING: LINTEL DESIGN FOR 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LINTEL3!$F6</f>
        <v>8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</row>
    <row r="4" spans="1:48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LINTEL3!$C6</f>
        <v>0</v>
      </c>
      <c r="N4" s="185" t="s">
        <v>87</v>
      </c>
      <c r="O4" s="185"/>
      <c r="P4" s="186" t="s">
        <v>88</v>
      </c>
      <c r="Q4" s="194">
        <f>LINTEL3!$F7</f>
        <v>2</v>
      </c>
      <c r="R4" s="185"/>
      <c r="S4" s="185"/>
      <c r="T4" s="186" t="s">
        <v>89</v>
      </c>
      <c r="U4" s="195" t="str">
        <f>LINTEL3!$I6</f>
        <v/>
      </c>
      <c r="V4" s="185" t="s">
        <v>90</v>
      </c>
      <c r="W4" s="188"/>
      <c r="X4" s="196">
        <f>LINTEL3!$C7</f>
        <v>0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 t="e">
        <f>Z9</f>
        <v>#N/A</v>
      </c>
      <c r="N5" s="185" t="s">
        <v>82</v>
      </c>
      <c r="O5" s="185"/>
      <c r="P5" s="186" t="s">
        <v>96</v>
      </c>
      <c r="Q5" s="202">
        <f>LINTEL3!$F8</f>
        <v>6</v>
      </c>
      <c r="R5" s="185"/>
      <c r="S5" s="185"/>
      <c r="T5" s="203" t="s">
        <v>97</v>
      </c>
      <c r="U5" s="195" t="str">
        <f>LINTEL3!$I7</f>
        <v/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86</v>
      </c>
      <c r="C6" s="208">
        <f>MODULEINPUT!C23</f>
        <v>0</v>
      </c>
      <c r="D6" s="19"/>
      <c r="E6" s="17" t="s">
        <v>81</v>
      </c>
      <c r="F6" s="209">
        <f>MODULEINPUT!F37</f>
        <v>8</v>
      </c>
      <c r="G6" s="573" t="e">
        <f>IF(AJ19="FAIL","As &gt; As,max " &amp; AK19,"")</f>
        <v>#N/A</v>
      </c>
      <c r="H6" s="17" t="s">
        <v>89</v>
      </c>
      <c r="I6" s="210" t="str">
        <f>MODULEINPUT!H23</f>
        <v/>
      </c>
      <c r="J6" s="18"/>
      <c r="K6" s="185"/>
      <c r="L6" s="186" t="s">
        <v>102</v>
      </c>
      <c r="M6" s="193">
        <f>LINTEL3!$C8</f>
        <v>14</v>
      </c>
      <c r="N6" s="185" t="s">
        <v>87</v>
      </c>
      <c r="O6" s="185"/>
      <c r="P6" s="211" t="s">
        <v>103</v>
      </c>
      <c r="Q6" s="212">
        <f>F9</f>
        <v>1</v>
      </c>
      <c r="R6" s="175"/>
      <c r="S6" s="185"/>
      <c r="T6" s="203" t="s">
        <v>104</v>
      </c>
      <c r="U6" s="195" t="str">
        <f>LINTEL3!$I8</f>
        <v/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>
        <f>AR5+Q7/12+(M9-4)/12</f>
        <v>3.3333333333333335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105</v>
      </c>
      <c r="C7" s="214">
        <f>MODULEINPUT!D23</f>
        <v>0</v>
      </c>
      <c r="D7" s="19"/>
      <c r="E7" s="17" t="s">
        <v>88</v>
      </c>
      <c r="F7" s="215">
        <f>MODULEINPUT!G37*F9</f>
        <v>2</v>
      </c>
      <c r="G7" s="574"/>
      <c r="H7" s="17" t="s">
        <v>97</v>
      </c>
      <c r="I7" s="216" t="str">
        <f>MODULEINPUT!I23</f>
        <v/>
      </c>
      <c r="J7" s="18"/>
      <c r="K7" s="185"/>
      <c r="L7" s="186" t="s">
        <v>106</v>
      </c>
      <c r="M7" s="193">
        <f>LINTEL3!$C9</f>
        <v>12</v>
      </c>
      <c r="N7" s="185" t="s">
        <v>87</v>
      </c>
      <c r="O7" s="185"/>
      <c r="P7" s="186" t="s">
        <v>107</v>
      </c>
      <c r="Q7" s="217">
        <f>LINTEL3!$F11</f>
        <v>24</v>
      </c>
      <c r="R7" s="185" t="s">
        <v>82</v>
      </c>
      <c r="S7" s="185"/>
      <c r="T7" s="203" t="s">
        <v>108</v>
      </c>
      <c r="U7" s="218">
        <f>LINTEL3!$I9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>
        <f>AR6</f>
        <v>3.3333333333333335</v>
      </c>
      <c r="AS7" s="213">
        <f>AS6+M6</f>
        <v>15</v>
      </c>
      <c r="AT7" s="207"/>
      <c r="AU7" s="207"/>
      <c r="AV7" s="185"/>
    </row>
    <row r="8" spans="1:48" ht="15.75" customHeight="1">
      <c r="A8" s="17"/>
      <c r="B8" s="17" t="s">
        <v>102</v>
      </c>
      <c r="C8" s="219">
        <f>MODULEINPUT!C37</f>
        <v>14</v>
      </c>
      <c r="D8" s="19"/>
      <c r="E8" s="17" t="s">
        <v>96</v>
      </c>
      <c r="F8" s="220">
        <f>MODULEINPUT!E37</f>
        <v>6</v>
      </c>
      <c r="G8" s="575"/>
      <c r="H8" s="17" t="s">
        <v>104</v>
      </c>
      <c r="I8" s="216" t="str">
        <f>MODULEINPUT!J23</f>
        <v/>
      </c>
      <c r="J8" s="18"/>
      <c r="K8" s="185"/>
      <c r="L8" s="186" t="s">
        <v>110</v>
      </c>
      <c r="M8" s="193">
        <f>LINTEL3!$C10-0.0000001</f>
        <v>-9.9999999999999995E-8</v>
      </c>
      <c r="N8" s="185" t="s">
        <v>87</v>
      </c>
      <c r="O8" s="185"/>
      <c r="P8" s="186" t="s">
        <v>111</v>
      </c>
      <c r="Q8" s="217" t="e">
        <f>LINTEL3!$F12</f>
        <v>#N/A</v>
      </c>
      <c r="R8" s="185" t="s">
        <v>82</v>
      </c>
      <c r="S8" s="185"/>
      <c r="T8" s="203" t="s">
        <v>112</v>
      </c>
      <c r="U8" s="218" t="e">
        <f ca="1">LINTEL3!$I10</f>
        <v>#N/A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>
        <f>AR7+M7</f>
        <v>15.333333333333334</v>
      </c>
      <c r="AS8" s="213">
        <f>AS7</f>
        <v>15</v>
      </c>
      <c r="AT8" s="207"/>
      <c r="AU8" s="207"/>
      <c r="AV8" s="185"/>
    </row>
    <row r="9" spans="1:48" ht="15.75" customHeight="1">
      <c r="A9" s="17"/>
      <c r="B9" s="17" t="s">
        <v>106</v>
      </c>
      <c r="C9" s="219">
        <f>MODULEINPUT!D37</f>
        <v>12</v>
      </c>
      <c r="D9" s="19"/>
      <c r="E9" s="17" t="s">
        <v>103</v>
      </c>
      <c r="F9" s="221">
        <f>MODULEINPUT!H37</f>
        <v>1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>
        <f>Z20</f>
        <v>8</v>
      </c>
      <c r="N9" s="185" t="s">
        <v>115</v>
      </c>
      <c r="O9" s="185"/>
      <c r="P9" s="186" t="s">
        <v>116</v>
      </c>
      <c r="Q9" s="194">
        <f>LINTEL3!$F13</f>
        <v>3</v>
      </c>
      <c r="R9" s="185"/>
      <c r="S9" s="185"/>
      <c r="T9" s="203" t="s">
        <v>13</v>
      </c>
      <c r="U9" s="185" t="b">
        <f>IF(LINTEL3!$I11="y",TRUE,FALSE)</f>
        <v>1</v>
      </c>
      <c r="V9" s="185"/>
      <c r="W9" s="188"/>
      <c r="X9" s="224" t="s">
        <v>117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>
        <f>AR8</f>
        <v>15.333333333333334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110</v>
      </c>
      <c r="C10" s="219">
        <f>MODULEINPUT!E23</f>
        <v>0</v>
      </c>
      <c r="D10" s="19"/>
      <c r="E10" s="19"/>
      <c r="F10" s="40"/>
      <c r="G10" s="19"/>
      <c r="H10" s="17" t="s">
        <v>112</v>
      </c>
      <c r="I10" s="222" t="e">
        <f ca="1">M22</f>
        <v>#N/A</v>
      </c>
      <c r="J10" s="18"/>
      <c r="K10" s="185"/>
      <c r="L10" s="186" t="s">
        <v>118</v>
      </c>
      <c r="M10" s="226">
        <f>LINTEL3!$C12</f>
        <v>2000</v>
      </c>
      <c r="N10" s="185" t="s">
        <v>119</v>
      </c>
      <c r="O10" s="185"/>
      <c r="P10" s="186" t="s">
        <v>96</v>
      </c>
      <c r="Q10" s="202">
        <f>LINTEL3!$F14</f>
        <v>6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>
        <f>AR9+(AR6-AR5)</f>
        <v>17.666666666666668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122</v>
      </c>
      <c r="C11" s="228" t="str">
        <f>MODULEINPUT!B37</f>
        <v>Solid</v>
      </c>
      <c r="D11" s="19"/>
      <c r="E11" s="17" t="s">
        <v>107</v>
      </c>
      <c r="F11" s="209">
        <f>MODULEINPUT!J37</f>
        <v>24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MODULEINPUT!K37</f>
        <v>1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>
        <f>AR10</f>
        <v>17.666666666666668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 t="e">
        <f>IF(MODULEINPUT!K37=1,M5/2,M5-2-F14/16)</f>
        <v>#N/A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 t="str">
        <f>LINTEL3!$C11</f>
        <v>Solid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116</v>
      </c>
      <c r="F13" s="215">
        <v>3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96</v>
      </c>
      <c r="F14" s="220">
        <f>MODULEINPUT!I37</f>
        <v>6</v>
      </c>
      <c r="G14" s="19"/>
      <c r="H14" s="19"/>
      <c r="I14" s="19"/>
      <c r="J14" s="18"/>
      <c r="K14" s="185"/>
      <c r="L14" s="175"/>
      <c r="M14" s="186" t="s">
        <v>131</v>
      </c>
      <c r="N14" s="246" t="e">
        <f>M4*12/M5</f>
        <v>#N/A</v>
      </c>
      <c r="O14" s="185" t="s">
        <v>132</v>
      </c>
      <c r="P14" s="185"/>
      <c r="Q14" s="185"/>
      <c r="R14" s="211" t="s">
        <v>133</v>
      </c>
      <c r="S14" s="247">
        <f>(M9/2-4+Q7)/12</f>
        <v>2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 t="e">
        <f>AC21</f>
        <v>#N/A</v>
      </c>
      <c r="O15" s="185" t="s">
        <v>109</v>
      </c>
      <c r="P15" s="185"/>
      <c r="Q15" s="185"/>
      <c r="R15" s="211" t="s">
        <v>141</v>
      </c>
      <c r="S15" s="247">
        <f>M7/2</f>
        <v>6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 t="e">
        <f>LINTEL3!$B23</f>
        <v>#VALUE!</v>
      </c>
      <c r="AH15" s="254" t="s">
        <v>143</v>
      </c>
      <c r="AI15" s="253">
        <f>LINTEL3!$D23</f>
        <v>7.6725000000000003</v>
      </c>
      <c r="AJ15" s="255" t="e">
        <f>AB86</f>
        <v>#VALUE!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 t="e">
        <f>AA9</f>
        <v>#N/A</v>
      </c>
      <c r="O16" s="185" t="s">
        <v>109</v>
      </c>
      <c r="P16" s="185"/>
      <c r="Q16" s="185"/>
      <c r="R16" s="186" t="s">
        <v>147</v>
      </c>
      <c r="S16" s="246" t="e">
        <f>N18+N17*S15+U4*S15</f>
        <v>#N/A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 t="e">
        <f>LINTEL3!$B24</f>
        <v>#VALUE!</v>
      </c>
      <c r="AH16" s="254" t="s">
        <v>151</v>
      </c>
      <c r="AI16" s="260" t="e">
        <f>LINTEL3!$D24</f>
        <v>#VALUE!</v>
      </c>
      <c r="AJ16" s="255" t="e">
        <f>AB79</f>
        <v>#VALUE!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</row>
    <row r="17" spans="1:48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 t="e">
        <f>(M4-M6-Q3/12)*N15+Q3/12*N16</f>
        <v>#N/A</v>
      </c>
      <c r="O17" s="185" t="s">
        <v>90</v>
      </c>
      <c r="P17" s="185"/>
      <c r="Q17" s="185"/>
      <c r="R17" s="186" t="s">
        <v>154</v>
      </c>
      <c r="S17" s="185" t="e">
        <f>U5*S15</f>
        <v>#VALUE!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 t="e">
        <f>1.3*Y91/1000</f>
        <v>#N/A</v>
      </c>
      <c r="AH17" s="254" t="s">
        <v>157</v>
      </c>
      <c r="AI17" s="260">
        <f>AI15/0.9</f>
        <v>8.5250000000000004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158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 t="e">
        <f>AA9*Q7/12*M4</f>
        <v>#N/A</v>
      </c>
      <c r="O18" s="185" t="s">
        <v>148</v>
      </c>
      <c r="P18" s="185"/>
      <c r="Q18" s="185"/>
      <c r="R18" s="186" t="s">
        <v>160</v>
      </c>
      <c r="S18" s="185" t="e">
        <f>U6*(S15+Q7/12)</f>
        <v>#VALUE!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 t="e">
        <f>Y106</f>
        <v>#VALUE!</v>
      </c>
      <c r="AH18" s="269" t="s">
        <v>163</v>
      </c>
      <c r="AI18" s="268">
        <f>Y105</f>
        <v>0.24</v>
      </c>
      <c r="AJ18" s="255" t="e">
        <f>AB106</f>
        <v>#VALUE!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>
        <f>AR11</f>
        <v>17.666666666666668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164</v>
      </c>
      <c r="C19" s="273">
        <f>Y40</f>
        <v>14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>
        <f>S14*U7</f>
        <v>50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 t="e">
        <f>Y94</f>
        <v>#N/A</v>
      </c>
      <c r="AH19" s="269" t="s">
        <v>168</v>
      </c>
      <c r="AI19" s="274">
        <f>Y83</f>
        <v>0.88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169</v>
      </c>
      <c r="C20" s="275">
        <f>Y82</f>
        <v>4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MODULEINPUT!B23</f>
        <v>0</v>
      </c>
      <c r="N20" s="175"/>
      <c r="O20" s="175"/>
      <c r="P20" s="185"/>
      <c r="Q20" s="185"/>
      <c r="R20" s="186" t="s">
        <v>171</v>
      </c>
      <c r="S20" s="175">
        <f>U7*S15</f>
        <v>150</v>
      </c>
      <c r="T20" s="266" t="s">
        <v>172</v>
      </c>
      <c r="U20" s="185"/>
      <c r="V20" s="185"/>
      <c r="W20" s="188"/>
      <c r="X20" s="225" t="s">
        <v>117</v>
      </c>
      <c r="Y20" s="225" t="str">
        <f>VLOOKUP(X12,X13:AC19,2,FALSE)</f>
        <v>Solid</v>
      </c>
      <c r="Z20" s="225">
        <f>VLOOKUP(X12,X13:AC19,3,FALSE)</f>
        <v>8</v>
      </c>
      <c r="AA20" s="225">
        <f>VLOOKUP(X12,X13:AC19,4,FALSE)</f>
        <v>84</v>
      </c>
      <c r="AB20" s="225">
        <f>VLOOKUP(X12,X13:AC19,5,FALSE)</f>
        <v>104</v>
      </c>
      <c r="AC20" s="225">
        <f>VLOOKUP(X12,X13:AC19,6,FALSE)</f>
        <v>133</v>
      </c>
      <c r="AD20" s="189"/>
      <c r="AE20" s="190"/>
      <c r="AF20" s="267" t="s">
        <v>173</v>
      </c>
      <c r="AG20" s="260" t="e">
        <f>AG16</f>
        <v>#VALUE!</v>
      </c>
      <c r="AH20" s="269" t="s">
        <v>174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175</v>
      </c>
      <c r="S21" s="247" t="e">
        <f ca="1">S14*U8</f>
        <v>#N/A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48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 t="e">
        <f ca="1">MODULEINPUT!P5*M21</f>
        <v>#N/A</v>
      </c>
      <c r="N22" s="185"/>
      <c r="O22" s="185"/>
      <c r="P22" s="185"/>
      <c r="Q22" s="185"/>
      <c r="R22" s="186" t="s">
        <v>178</v>
      </c>
      <c r="S22" s="175" t="e">
        <f ca="1">U8*S15</f>
        <v>#N/A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48" ht="15.75" customHeight="1">
      <c r="A23" s="17" t="s">
        <v>142</v>
      </c>
      <c r="B23" s="281" t="e">
        <f t="shared" ref="B23:B24" si="3">Y59/1000</f>
        <v>#VALUE!</v>
      </c>
      <c r="C23" s="17" t="s">
        <v>143</v>
      </c>
      <c r="D23" s="281">
        <f>Y86/1000</f>
        <v>7.6725000000000003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>
        <f t="shared" ref="AR23:AS23" si="4">AR7</f>
        <v>3.3333333333333335</v>
      </c>
      <c r="AS23" s="213">
        <f t="shared" si="4"/>
        <v>15</v>
      </c>
      <c r="AT23" s="207"/>
      <c r="AU23" s="207"/>
      <c r="AV23" s="185"/>
    </row>
    <row r="24" spans="1:48" ht="15.75" customHeight="1">
      <c r="A24" s="17" t="s">
        <v>150</v>
      </c>
      <c r="B24" s="287" t="e">
        <f t="shared" si="3"/>
        <v>#VALUE!</v>
      </c>
      <c r="C24" s="17" t="s">
        <v>151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 t="e">
        <f ca="1">LINTEL3!$B31</f>
        <v>#N/A</v>
      </c>
      <c r="AH24" s="254" t="s">
        <v>143</v>
      </c>
      <c r="AI24" s="253" t="e">
        <f>LINTEL3!$D31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>
        <f>AR23</f>
        <v>3.3333333333333335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 t="e">
        <f ca="1">LINTEL3!$B32</f>
        <v>#N/A</v>
      </c>
      <c r="AH25" s="254" t="s">
        <v>143</v>
      </c>
      <c r="AI25" s="253" t="e">
        <f>LINTEL3!$D32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>
        <f>AR6-Q7/12</f>
        <v>1.3333333333333335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184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 t="e">
        <f ca="1">LINTEL3!$B33</f>
        <v>#N/A</v>
      </c>
      <c r="AH26" s="254" t="s">
        <v>151</v>
      </c>
      <c r="AI26" s="260" t="e">
        <f ca="1">LINTEL3!$D33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>
        <f>AR25</f>
        <v>1.3333333333333335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188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 t="e">
        <f>LINTEL3!$B34</f>
        <v>#N/A</v>
      </c>
      <c r="AH27" s="299" t="s">
        <v>192</v>
      </c>
      <c r="AI27" s="298" t="e">
        <f>LINTEL3!$D34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>
        <f t="shared" ref="AR27:AS27" si="9">AR8</f>
        <v>15.333333333333334</v>
      </c>
      <c r="AS27" s="213">
        <f t="shared" si="9"/>
        <v>15</v>
      </c>
      <c r="AT27" s="207"/>
      <c r="AU27" s="207"/>
      <c r="AV27" s="185"/>
    </row>
    <row r="28" spans="1:48" ht="15.75" customHeight="1">
      <c r="A28" s="19"/>
      <c r="B28" s="572" t="e">
        <f>IF(AJ17="FAIL",AK17,IF(AJ18="FAIL","Deflection Fails",IF(AJ20="FAIL",AK20,"")))</f>
        <v>#N/A</v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>
        <f>1*S19</f>
        <v>50</v>
      </c>
      <c r="N28" s="207">
        <f>1*S20</f>
        <v>150</v>
      </c>
      <c r="O28" s="185"/>
      <c r="P28" s="207"/>
      <c r="Q28" s="305" t="s">
        <v>181</v>
      </c>
      <c r="R28" s="306" t="e">
        <f ca="1">S145</f>
        <v>#N/A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>
        <f>AR27</f>
        <v>15.333333333333334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90</v>
      </c>
      <c r="P29" s="207"/>
      <c r="Q29" s="312" t="s">
        <v>183</v>
      </c>
      <c r="R29" s="313" t="e">
        <f t="shared" ref="R29:R30" ca="1" si="11">S147</f>
        <v>#N/A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>
        <f>AR28+Q7/12</f>
        <v>17.333333333333336</v>
      </c>
      <c r="AS29" s="213">
        <f>AS28</f>
        <v>1</v>
      </c>
      <c r="AT29" s="207"/>
      <c r="AU29" s="207"/>
      <c r="AV29" s="185"/>
    </row>
    <row r="30" spans="1:48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 t="e">
        <f t="shared" ca="1" si="11"/>
        <v>#N/A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>
        <f>AR29</f>
        <v>17.333333333333336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181</v>
      </c>
      <c r="B31" s="319" t="e">
        <f t="shared" ref="B31:B34" ca="1" si="12">M86/1000</f>
        <v>#N/A</v>
      </c>
      <c r="C31" s="318" t="s">
        <v>143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183</v>
      </c>
      <c r="B32" s="319" t="e">
        <f t="shared" ca="1" si="12"/>
        <v>#N/A</v>
      </c>
      <c r="C32" s="318" t="s">
        <v>143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>
        <f>(VLOOKUP(Q10,X26:Y32,2,FALSE))*Q9</f>
        <v>1.32</v>
      </c>
      <c r="N32" s="266" t="s">
        <v>198</v>
      </c>
      <c r="O32" s="320" t="s">
        <v>199</v>
      </c>
      <c r="P32" s="321" t="e">
        <f>0.8*M35</f>
        <v>#N/A</v>
      </c>
      <c r="Q32" s="186"/>
      <c r="R32" s="313"/>
      <c r="S32" s="207"/>
      <c r="T32" s="186" t="s">
        <v>200</v>
      </c>
      <c r="U32" s="313" t="e">
        <f>(0.8*M10*P32*P33*(M34-P32/2))/12</f>
        <v>#N/A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>
        <f>MAX(AR5:AS30)</f>
        <v>17.666666666666668</v>
      </c>
      <c r="AS32" s="213">
        <f>AR32</f>
        <v>17.666666666666668</v>
      </c>
      <c r="AT32" s="207"/>
      <c r="AU32" s="207"/>
      <c r="AV32" s="185"/>
    </row>
    <row r="33" spans="1:48" ht="15.75" customHeight="1">
      <c r="A33" s="318" t="s">
        <v>150</v>
      </c>
      <c r="B33" s="324" t="e">
        <f t="shared" ca="1" si="12"/>
        <v>#N/A</v>
      </c>
      <c r="C33" s="318" t="s">
        <v>151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24</v>
      </c>
      <c r="Q33" s="186"/>
      <c r="R33" s="313"/>
      <c r="S33" s="207"/>
      <c r="T33" s="186" t="s">
        <v>203</v>
      </c>
      <c r="U33" s="313" t="e">
        <f>(M32*M33*(M34-P32/2))/12</f>
        <v>#N/A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 t="e">
        <f t="shared" si="12"/>
        <v>#N/A</v>
      </c>
      <c r="C34" s="318" t="s">
        <v>192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 t="e">
        <f>Q8</f>
        <v>#N/A</v>
      </c>
      <c r="N34" s="266" t="s">
        <v>205</v>
      </c>
      <c r="O34" s="320" t="s">
        <v>206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 t="e">
        <f>(0.0025/(0.0025+0.002069))*M34</f>
        <v>#N/A</v>
      </c>
      <c r="N35" s="266" t="s">
        <v>82</v>
      </c>
      <c r="O35" s="326" t="s">
        <v>157</v>
      </c>
      <c r="P35" s="327" t="e">
        <f>MIN(U32:U33)</f>
        <v>#N/A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>
        <f t="shared" ref="AR36:AS36" si="14">AR7</f>
        <v>3.3333333333333335</v>
      </c>
      <c r="AS36" s="213">
        <f t="shared" si="14"/>
        <v>15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>
        <f>AR25</f>
        <v>1.3333333333333335</v>
      </c>
      <c r="AS37" s="213">
        <f>AS36</f>
        <v>15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>
        <f>AR37</f>
        <v>1.3333333333333335</v>
      </c>
      <c r="AS38" s="213">
        <f>AS37+Q3/12</f>
        <v>15.666666666666666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ROUND(LINTEL3!F6/8,0)</f>
        <v>1</v>
      </c>
      <c r="D39" s="40" t="str">
        <f>""</f>
        <v/>
      </c>
      <c r="E39" s="40"/>
      <c r="F39" s="40"/>
      <c r="G39" s="93" t="s">
        <v>214</v>
      </c>
      <c r="H39" s="44">
        <f>ROUND(LINTEL3!F11/8,0)</f>
        <v>3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>
        <f>AR29</f>
        <v>17.333333333333336</v>
      </c>
      <c r="AS39" s="213">
        <f>AS38</f>
        <v>15.666666666666666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CONCATENATE("(",LINTEL3!F7,")"," #",LINTEL3!F8)</f>
        <v>(2) #6</v>
      </c>
      <c r="D40" s="19"/>
      <c r="E40" s="19"/>
      <c r="F40" s="19"/>
      <c r="G40" s="17" t="s">
        <v>217</v>
      </c>
      <c r="H40" s="15" t="str">
        <f>CONCATENATE("(", IF(Q11=2,LINTEL3!F13*2,LINTEL3!F13),")"," #",LINTEL3!F14)</f>
        <v>(3) #6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14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>
        <f>AR39</f>
        <v>17.333333333333336</v>
      </c>
      <c r="AS40" s="213">
        <f>AS36</f>
        <v>15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219</v>
      </c>
      <c r="D41" s="15" t="s">
        <v>220</v>
      </c>
      <c r="E41" s="19"/>
      <c r="F41" s="19"/>
      <c r="G41" s="17" t="s">
        <v>221</v>
      </c>
      <c r="H41" s="347" t="e">
        <f>LINTEL3!F12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>
        <f>AR28</f>
        <v>15.333333333333334</v>
      </c>
      <c r="AS41" s="213">
        <f>AS36</f>
        <v>15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125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7.666666666666667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 t="e">
        <f>(Y44-Q3/12)*N15+Q3/12*N16</f>
        <v>#N/A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228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229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230</v>
      </c>
      <c r="Y49" s="362" t="e">
        <f>IF(Y43="No",U4+N17,Y45)</f>
        <v>#VALUE!</v>
      </c>
      <c r="Z49" s="266" t="s">
        <v>90</v>
      </c>
      <c r="AA49" s="363" t="s">
        <v>231</v>
      </c>
      <c r="AB49" s="364" t="e">
        <f>SUM(Y49:Y51)</f>
        <v>#VALUE!</v>
      </c>
      <c r="AC49" s="365" t="s">
        <v>90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232</v>
      </c>
      <c r="Y50" s="362" t="str">
        <f>IF(Y43="No",U5,0)</f>
        <v/>
      </c>
      <c r="Z50" s="266" t="s">
        <v>90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78"/>
      <c r="T51" s="579"/>
      <c r="U51" s="579"/>
      <c r="V51" s="580"/>
      <c r="W51" s="231"/>
      <c r="X51" s="207" t="s">
        <v>233</v>
      </c>
      <c r="Y51" s="362" t="str">
        <f>IF(Y43="No",U6,0)</f>
        <v/>
      </c>
      <c r="Z51" s="266" t="s">
        <v>90</v>
      </c>
      <c r="AA51" s="370" t="s">
        <v>234</v>
      </c>
      <c r="AB51" s="371" t="e">
        <f>AB49*(Y40^2)/8</f>
        <v>#VALUE!</v>
      </c>
      <c r="AC51" s="368" t="s">
        <v>235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236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191</v>
      </c>
      <c r="M55" s="379" t="e">
        <f>1.2*S16+1.6*(MAX(S17:S18))+0.8*(MIN(S17:S18))</f>
        <v>#N/A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 t="e">
        <f>1.2*Y49+1.6*Y50+0.5*Y51</f>
        <v>#VALUE!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240</v>
      </c>
      <c r="M56" s="185" t="e">
        <f>Q7*M5</f>
        <v>#N/A</v>
      </c>
      <c r="N56" s="185" t="s">
        <v>198</v>
      </c>
      <c r="O56" s="175"/>
      <c r="P56" s="211" t="s">
        <v>241</v>
      </c>
      <c r="Q56" s="381" t="e">
        <f>0.8*(0.8*M10*(M56-M32)+(M33*M32))*(1-(M59/140)^2)</f>
        <v>#N/A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 t="e">
        <f>1.2*Y49+1.6*Y51+Z54*Y50</f>
        <v>#VALUE!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244</v>
      </c>
      <c r="M57" s="265" t="e">
        <f>Q7*M5^3/12</f>
        <v>#N/A</v>
      </c>
      <c r="N57" s="185" t="s">
        <v>245</v>
      </c>
      <c r="O57" s="175"/>
      <c r="P57" s="211" t="s">
        <v>241</v>
      </c>
      <c r="Q57" s="381" t="e">
        <f>0.8*(0.8*M10*(M56-M32)+(M33*M32))*(70/M59)^2</f>
        <v>#N/A</v>
      </c>
      <c r="R57" s="175" t="s">
        <v>246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247</v>
      </c>
      <c r="M58" s="246" t="e">
        <f>SQRT(M57/M56)</f>
        <v>#N/A</v>
      </c>
      <c r="N58" s="185"/>
      <c r="O58" s="175"/>
      <c r="P58" s="384" t="s">
        <v>241</v>
      </c>
      <c r="Q58" s="385" t="e">
        <f>IF(M59&lt;99,Q56,Q57)</f>
        <v>#N/A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248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 t="e">
        <f>(Y57*Y40^2)/8</f>
        <v>#VALUE!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 t="e">
        <f>Y57*Y40/2</f>
        <v>#VALUE!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 t="e">
        <f>M5*Q3</f>
        <v>#N/A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 t="e">
        <f>MIN(Y59*12/(Y60*Q3),1)</f>
        <v>#VALUE!</v>
      </c>
      <c r="Z65" s="207"/>
      <c r="AA65" s="207"/>
      <c r="AB65" s="186" t="s">
        <v>174</v>
      </c>
      <c r="AC65" s="362" t="e">
        <f ca="1">0.6*0.6*S149*M5*(Q7-3/8)</f>
        <v>#N/A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 t="e">
        <f>(4-1.75*Y65)*Y64*SQRT(M10)</f>
        <v>#VALUE!</v>
      </c>
      <c r="Z66" s="396" t="s">
        <v>148</v>
      </c>
      <c r="AA66" s="207"/>
      <c r="AB66" s="207" t="s">
        <v>256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257</v>
      </c>
      <c r="M67" s="320" t="e">
        <f>N14</f>
        <v>#N/A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259</v>
      </c>
      <c r="M68" s="320" t="e">
        <f>M55/M56</f>
        <v>#N/A</v>
      </c>
      <c r="N68" s="185"/>
      <c r="O68" s="185"/>
      <c r="P68" s="207"/>
      <c r="Q68" s="175"/>
      <c r="R68" s="186" t="s">
        <v>188</v>
      </c>
      <c r="S68" s="397" t="e">
        <f ca="1">5*R28*(M4*12)^2/(48*57000*SQRT(M10)*M57)</f>
        <v>#N/A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261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262</v>
      </c>
      <c r="S69" s="397" t="e">
        <f>(1/2*M5)+0.5</f>
        <v>#N/A</v>
      </c>
      <c r="T69" s="207" t="s">
        <v>82</v>
      </c>
      <c r="U69" s="207"/>
      <c r="V69" s="207"/>
      <c r="W69" s="231"/>
      <c r="X69" s="211" t="s">
        <v>263</v>
      </c>
      <c r="Y69" s="186" t="e">
        <f>0.0007*M5*Q3</f>
        <v>#N/A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264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265</v>
      </c>
      <c r="S70" s="313" t="e">
        <f ca="1">((M55*S69)+(M55*S68))/12</f>
        <v>#N/A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4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265</v>
      </c>
      <c r="S71" s="402" t="e">
        <f>IF(M67&gt;30,S70,0)</f>
        <v>#N/A</v>
      </c>
      <c r="T71" s="403" t="s">
        <v>194</v>
      </c>
      <c r="U71" s="185"/>
      <c r="V71" s="185"/>
      <c r="W71" s="188"/>
      <c r="X71" s="211" t="s">
        <v>267</v>
      </c>
      <c r="Y71" s="175" t="e">
        <f>IF(0.8*Y66&gt;Y60,0,Y60/0.8-Y66)</f>
        <v>#VALUE!</v>
      </c>
      <c r="Z71" s="175" t="s">
        <v>148</v>
      </c>
      <c r="AA71" s="175" t="s">
        <v>256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274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275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276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277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278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 t="e">
        <f>0.8*(Y71+Y66)</f>
        <v>#VALUE!</v>
      </c>
      <c r="Z79" s="396" t="s">
        <v>148</v>
      </c>
      <c r="AA79" s="185" t="s">
        <v>256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279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280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4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>
        <f>(VLOOKUP(Q5,X26:Y32,2,FALSE))*Q4</f>
        <v>0.88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>
        <f>Y83*Y84/(0.8*M10*Q3)</f>
        <v>4.125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181</v>
      </c>
      <c r="M86" s="265" t="e">
        <f ca="1">R28+S71</f>
        <v>#N/A</v>
      </c>
      <c r="N86" s="186" t="s">
        <v>143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143</v>
      </c>
      <c r="Y86" s="417">
        <f>0.9*(Y83*Y84*(Y82-Y85/2))/12</f>
        <v>7672.5</v>
      </c>
      <c r="Z86" s="396" t="s">
        <v>235</v>
      </c>
      <c r="AA86" s="185" t="s">
        <v>256</v>
      </c>
      <c r="AB86" s="185" t="e">
        <f>IF(Y86&gt;Y59,"PASS","FAIL")</f>
        <v>#VALUE!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183</v>
      </c>
      <c r="M87" s="265" t="e">
        <f ca="1">IF(R29=0,0.01,ABS(R29))</f>
        <v>#N/A</v>
      </c>
      <c r="N87" s="186" t="s">
        <v>143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150</v>
      </c>
      <c r="M88" s="265" t="e">
        <f ca="1">R30</f>
        <v>#N/A</v>
      </c>
      <c r="N88" s="186" t="s">
        <v>151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191</v>
      </c>
      <c r="M89" s="185" t="e">
        <f>M55</f>
        <v>#N/A</v>
      </c>
      <c r="N89" s="186" t="s">
        <v>192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 t="e">
        <f>M5*(Q3^2)/6</f>
        <v>#N/A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 t="e">
        <f>Y89*Y90/12</f>
        <v>#N/A</v>
      </c>
      <c r="Z91" s="185" t="s">
        <v>235</v>
      </c>
      <c r="AA91" s="185" t="s">
        <v>256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85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295</v>
      </c>
      <c r="M94" s="426" t="e">
        <f ca="1">S21+S22</f>
        <v>#N/A</v>
      </c>
      <c r="N94" s="427"/>
      <c r="O94" s="428" t="s">
        <v>295</v>
      </c>
      <c r="P94" s="427">
        <f>S19+S20</f>
        <v>200</v>
      </c>
      <c r="Q94" s="428"/>
      <c r="R94" s="428"/>
      <c r="S94" s="428"/>
      <c r="T94" s="185"/>
      <c r="U94" s="185"/>
      <c r="V94" s="185"/>
      <c r="W94" s="188"/>
      <c r="X94" s="186" t="s">
        <v>167</v>
      </c>
      <c r="Y94" s="431" t="e">
        <f>0.64*M10/(U10*1000)*(0.0025/(1.5*U10/29000+0.0025))*M5*Q3</f>
        <v>#N/A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296</v>
      </c>
      <c r="M95" s="432">
        <f>M8</f>
        <v>-9.9999999999999995E-8</v>
      </c>
      <c r="N95" s="427"/>
      <c r="O95" s="428" t="s">
        <v>297</v>
      </c>
      <c r="P95" s="427">
        <f>S19+S20</f>
        <v>200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256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199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300</v>
      </c>
      <c r="M98" s="433" t="e">
        <f ca="1">M94*($M$95+$M$96)^2/(2*$M$95)</f>
        <v>#N/A</v>
      </c>
      <c r="N98" s="427"/>
      <c r="O98" s="428" t="s">
        <v>300</v>
      </c>
      <c r="P98" s="433">
        <f>P94*($M$95+$M$96)^2/(2*$M$95)+P95*M96*(2*M95+M96)/(2*M95)</f>
        <v>9.9999999999999974E-6</v>
      </c>
      <c r="Q98" s="428"/>
      <c r="R98" s="428"/>
      <c r="S98" s="428"/>
      <c r="T98" s="185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302</v>
      </c>
      <c r="M99" s="433" t="e">
        <f ca="1">M94*($M$95^2-$M$96^2)/(2*$M$95)</f>
        <v>#N/A</v>
      </c>
      <c r="N99" s="427"/>
      <c r="O99" s="428" t="s">
        <v>302</v>
      </c>
      <c r="P99" s="433">
        <f>P94*($M$95^2-$M$96^2)/(2*$M$95)-P95*M96^2/(2*M95)</f>
        <v>9.9999999999999974E-6</v>
      </c>
      <c r="Q99" s="428"/>
      <c r="R99" s="428"/>
      <c r="S99" s="428"/>
      <c r="T99" s="185"/>
      <c r="U99" s="185"/>
      <c r="V99" s="185"/>
      <c r="W99" s="188"/>
      <c r="X99" s="211" t="s">
        <v>303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304</v>
      </c>
      <c r="M100" s="433" t="e">
        <f ca="1">M94*(M95+M96)</f>
        <v>#N/A</v>
      </c>
      <c r="N100" s="427"/>
      <c r="O100" s="428" t="s">
        <v>304</v>
      </c>
      <c r="P100" s="434">
        <f>P94*(M95+M96)+P95*M96</f>
        <v>1.9999999999999998E-5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305</v>
      </c>
      <c r="Y101" s="265" t="e">
        <f>M5*(Q3^3)/12</f>
        <v>#N/A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308</v>
      </c>
      <c r="Y102" s="265" t="e">
        <f>M5*(Y99^3)/3+Y98*Y83*(Y82-Y99)^2</f>
        <v>#N/A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>
        <f>P99</f>
        <v>9.9999999999999974E-6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309</v>
      </c>
      <c r="Y103" s="362" t="e">
        <f>(Y91/AB51)^3*Y101+(1-(Y91/AB51)^3)*Y102</f>
        <v>#N/A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>
        <f>O103-P94*M95</f>
        <v>2.9999999999999997E-5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>
        <f>P94*M96+P95*M96</f>
        <v>3.9999999999999996E-5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163</v>
      </c>
      <c r="Y105" s="175">
        <f>M7*12/600</f>
        <v>0.24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162</v>
      </c>
      <c r="Y106" s="320" t="e">
        <f>(5*AB49/12*(M7*12)^4)/(384*900*M10*Y103)</f>
        <v>#VALUE!</v>
      </c>
      <c r="Z106" s="185" t="s">
        <v>82</v>
      </c>
      <c r="AA106" s="185" t="s">
        <v>256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310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312</v>
      </c>
      <c r="M109" s="438">
        <f>(M95/2)*(1-M96^2/M95^2)</f>
        <v>0</v>
      </c>
      <c r="N109" s="437" t="e">
        <f ca="1">M94*(M95+M96)^2*(M95-M96)^2/(8*M95^2)</f>
        <v>#N/A</v>
      </c>
      <c r="O109" s="437">
        <f>P94*(M95+M96)^2*(M95-M96)^2/(8*M95^2)-P95*M96^2*M109/(2*M95)</f>
        <v>0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313</v>
      </c>
      <c r="M110" s="438">
        <f>M95</f>
        <v>-9.9999999999999995E-8</v>
      </c>
      <c r="N110" s="437" t="e">
        <f ca="1">-M94*M96^2/2</f>
        <v>#N/A</v>
      </c>
      <c r="O110" s="437">
        <f>-P94*M96^2/2-P95*M96^2/2</f>
        <v>-1.9999999999999996E-12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315</v>
      </c>
      <c r="M115" s="430" t="e">
        <f t="shared" ref="M115:M116" ca="1" si="19">S21</f>
        <v>#N/A</v>
      </c>
      <c r="N115" s="427"/>
      <c r="O115" s="428" t="s">
        <v>315</v>
      </c>
      <c r="P115" s="427">
        <f t="shared" ref="P115:P116" si="20">S19</f>
        <v>50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316</v>
      </c>
      <c r="M116" s="430" t="e">
        <f t="shared" ca="1" si="19"/>
        <v>#N/A</v>
      </c>
      <c r="N116" s="427"/>
      <c r="O116" s="428" t="s">
        <v>316</v>
      </c>
      <c r="P116" s="427">
        <f t="shared" si="20"/>
        <v>150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296</v>
      </c>
      <c r="M117" s="432">
        <f>M8</f>
        <v>-9.9999999999999995E-8</v>
      </c>
      <c r="N117" s="427"/>
      <c r="O117" s="428" t="s">
        <v>317</v>
      </c>
      <c r="P117" s="427">
        <f>P95</f>
        <v>200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199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202</v>
      </c>
      <c r="M119" s="432">
        <f>M8-M6</f>
        <v>-14.000000099999999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208</v>
      </c>
      <c r="M120" s="432">
        <f>M118+M119</f>
        <v>-14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300</v>
      </c>
      <c r="M122" s="433" t="e">
        <f ca="1">(M115*($M$117+$M$118)^2/2+M116*$M$120*($M$117-$M$119+$M$120/2))/$M$117</f>
        <v>#N/A</v>
      </c>
      <c r="N122" s="427"/>
      <c r="O122" s="428" t="s">
        <v>300</v>
      </c>
      <c r="P122" s="433">
        <f>(P115*($M$117+$M$118)^2/2+P116*$M$120*($M$117-$M$119+$M$120/2)+P117*M118*(M117+M118/2))/$M$117</f>
        <v>147000000000.00003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302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302</v>
      </c>
      <c r="P123" s="433">
        <f>P124-P122</f>
        <v>-147000002100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304</v>
      </c>
      <c r="M124" s="433" t="e">
        <f ca="1">M115*(M117+M118)+M116*M120</f>
        <v>#N/A</v>
      </c>
      <c r="N124" s="427"/>
      <c r="O124" s="428" t="s">
        <v>304</v>
      </c>
      <c r="P124" s="433">
        <f>P115*(M117+M118)+P116*M120+P117*M118</f>
        <v>-2099.9999800000001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>
        <f>P123</f>
        <v>-147000002100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14</v>
      </c>
      <c r="N128" s="437" t="e">
        <f ca="1">N127-M115*M128</f>
        <v>#N/A</v>
      </c>
      <c r="O128" s="437">
        <f>O127-P115*M128</f>
        <v>-147000002800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>
        <f>O128-(P115+P116)*M119</f>
        <v>-146999999999.99997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>
        <f>O129+P122</f>
        <v>0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>
        <f>O130-(P115+P116+P117)*M118</f>
        <v>-3.9999999999999996E-5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318</v>
      </c>
      <c r="M136" s="438" t="e">
        <f ca="1">M123/M115</f>
        <v>#N/A</v>
      </c>
      <c r="N136" s="437" t="e">
        <f ca="1">N127*M136/2</f>
        <v>#N/A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319</v>
      </c>
      <c r="M137" s="438">
        <f>P123/P115</f>
        <v>-2940000042</v>
      </c>
      <c r="N137" s="437" t="s">
        <v>144</v>
      </c>
      <c r="O137" s="437">
        <f>P123*M137/2</f>
        <v>2.1609000617400005E+20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14</v>
      </c>
      <c r="N138" s="437" t="e">
        <f ca="1">N136+N128*(M138-M136)/2</f>
        <v>#N/A</v>
      </c>
      <c r="O138" s="437">
        <f>O137+O128*(M138-M137)/2</f>
        <v>-2058000039936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>
        <f>O138+(O129-O128)*M119/2+O128*M119</f>
        <v>-5636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>
        <f>O139+O130*M118/2</f>
        <v>-5636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328</v>
      </c>
      <c r="M145" s="451" t="e">
        <f ca="1">M94*M95^2/8</f>
        <v>#N/A</v>
      </c>
      <c r="N145" s="451">
        <f>P94*M95^2/8</f>
        <v>2.4999999999999994E-13</v>
      </c>
      <c r="O145" s="451" t="e">
        <f ca="1">M115*M95^2/8+(M116*M119*(2*M117-M119)/(2*M117))^2/(2*M116)</f>
        <v>#N/A</v>
      </c>
      <c r="P145" s="451">
        <f>P115*M95^2/8+(P116*M119*(2*M117-M119)/(2*M117))^2/(2*P116)</f>
        <v>7.203E+19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329</v>
      </c>
      <c r="M146" s="451" t="e">
        <f t="shared" ref="M146:N146" ca="1" si="22">N109</f>
        <v>#N/A</v>
      </c>
      <c r="N146" s="451">
        <f t="shared" si="22"/>
        <v>0</v>
      </c>
      <c r="O146" s="451" t="e">
        <f t="shared" ref="O146:P146" ca="1" si="23">MAX(N135:N140)</f>
        <v>#N/A</v>
      </c>
      <c r="P146" s="451">
        <f t="shared" si="23"/>
        <v>2.1609000617400005E+20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330</v>
      </c>
      <c r="M147" s="451" t="e">
        <f t="shared" ref="M147:N147" ca="1" si="24">N110</f>
        <v>#N/A</v>
      </c>
      <c r="N147" s="451">
        <f t="shared" si="24"/>
        <v>-1.9999999999999996E-12</v>
      </c>
      <c r="O147" s="451" t="e">
        <f t="shared" ref="O147:P147" ca="1" si="25">MIN(N135:N140)</f>
        <v>#N/A</v>
      </c>
      <c r="P147" s="451">
        <f t="shared" si="25"/>
        <v>-2058000039936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331</v>
      </c>
      <c r="M148" s="451" t="e">
        <f t="shared" ref="M148:N148" ca="1" si="27">MAX(MAX(N103:N106),ABS(MIN(N103:N106)))</f>
        <v>#N/A</v>
      </c>
      <c r="N148" s="451">
        <f t="shared" si="27"/>
        <v>3.9999999999999996E-5</v>
      </c>
      <c r="O148" s="451" t="e">
        <f t="shared" ref="O148:P148" ca="1" si="28">MAX(MAX(N127:N131),ABS(MIN(N127:N131)))</f>
        <v>#N/A</v>
      </c>
      <c r="P148" s="451">
        <f t="shared" si="28"/>
        <v>147000002800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332</v>
      </c>
      <c r="M149" s="451" t="e">
        <f ca="1">M100</f>
        <v>#N/A</v>
      </c>
      <c r="N149" s="451">
        <f>P100</f>
        <v>1.9999999999999998E-5</v>
      </c>
      <c r="O149" s="451" t="e">
        <f ca="1">M124</f>
        <v>#N/A</v>
      </c>
      <c r="P149" s="451">
        <f>P124</f>
        <v>-2099.9999800000001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71" priority="9">
      <formula>LEN(TRIM(B28))&gt;0</formula>
    </cfRule>
  </conditionalFormatting>
  <conditionalFormatting sqref="D23:D24 D31:D34">
    <cfRule type="cellIs" dxfId="70" priority="8" operator="lessThan">
      <formula>B23</formula>
    </cfRule>
  </conditionalFormatting>
  <conditionalFormatting sqref="F6:F9 I6:I11 C6:C12 F11:F14">
    <cfRule type="expression" dxfId="69" priority="10">
      <formula>_xludf.isformula(C6)=FALSE</formula>
    </cfRule>
  </conditionalFormatting>
  <conditionalFormatting sqref="G6:G8">
    <cfRule type="notContainsBlanks" dxfId="68" priority="7">
      <formula>LEN(TRIM(G6))&gt;0</formula>
    </cfRule>
  </conditionalFormatting>
  <conditionalFormatting sqref="I44">
    <cfRule type="cellIs" dxfId="67" priority="6" operator="notEqual">
      <formula>"OK"</formula>
    </cfRule>
  </conditionalFormatting>
  <conditionalFormatting sqref="AJ15:AJ20 AJ24:AJ27">
    <cfRule type="cellIs" dxfId="66" priority="1" operator="equal">
      <formula>"PASS"</formula>
    </cfRule>
  </conditionalFormatting>
  <conditionalFormatting sqref="AM11">
    <cfRule type="cellIs" dxfId="65" priority="2" operator="equal">
      <formula>"OK"</formula>
    </cfRule>
    <cfRule type="cellIs" dxfId="64" priority="3" operator="equal">
      <formula>"TRUE"</formula>
    </cfRule>
    <cfRule type="cellIs" dxfId="63" priority="4" operator="equal">
      <formula>"PASS"</formula>
    </cfRule>
  </conditionalFormatting>
  <dataValidations count="2">
    <dataValidation type="list" allowBlank="1" sqref="C11" xr:uid="{00000000-0002-0000-0400-000000000000}">
      <formula1>$X$13:$X$19</formula1>
    </dataValidation>
    <dataValidation type="list" allowBlank="1" sqref="C7" xr:uid="{00000000-0002-0000-0400-000001000000}">
      <formula1>$X$5:$X$8</formula1>
    </dataValidation>
  </dataValidations>
  <printOptions horizontalCentered="1"/>
  <pageMargins left="0.7" right="0.7" top="0.75" bottom="0.75" header="0" footer="0"/>
  <pageSetup scale="83" fitToHeight="0" pageOrder="overThenDown" orientation="portrait" cellComments="atEnd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AV149"/>
  <sheetViews>
    <sheetView workbookViewId="0">
      <selection activeCell="F13" sqref="F13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</row>
    <row r="2" spans="1:48" ht="15.75" customHeight="1">
      <c r="A2" s="572" t="str">
        <f>MODULEINPUT!$A$3&amp; ": LINTEL DESIGN FOR "&amp;MODULEINPUT!A24</f>
        <v xml:space="preserve">CREECH DRP PH2 - LEVEL 2 OPENING: LINTEL DESIGN FOR 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LINTEL4!$F6</f>
        <v>0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</row>
    <row r="4" spans="1:48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LINTEL4!$C6</f>
        <v>0</v>
      </c>
      <c r="N4" s="185" t="s">
        <v>87</v>
      </c>
      <c r="O4" s="185"/>
      <c r="P4" s="186" t="s">
        <v>88</v>
      </c>
      <c r="Q4" s="194">
        <f>LINTEL4!$F7</f>
        <v>0</v>
      </c>
      <c r="R4" s="185"/>
      <c r="S4" s="185"/>
      <c r="T4" s="186" t="s">
        <v>89</v>
      </c>
      <c r="U4" s="195" t="str">
        <f>LINTEL4!$I6</f>
        <v/>
      </c>
      <c r="V4" s="185" t="s">
        <v>90</v>
      </c>
      <c r="W4" s="188"/>
      <c r="X4" s="196">
        <f>LINTEL4!$C7</f>
        <v>0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 t="e">
        <f>Z9</f>
        <v>#N/A</v>
      </c>
      <c r="N5" s="185" t="s">
        <v>82</v>
      </c>
      <c r="O5" s="185"/>
      <c r="P5" s="186" t="s">
        <v>96</v>
      </c>
      <c r="Q5" s="202">
        <f>LINTEL4!$F8</f>
        <v>0</v>
      </c>
      <c r="R5" s="185"/>
      <c r="S5" s="185"/>
      <c r="T5" s="203" t="s">
        <v>97</v>
      </c>
      <c r="U5" s="195" t="str">
        <f>LINTEL4!$I7</f>
        <v/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86</v>
      </c>
      <c r="C6" s="208">
        <f>MODULEINPUT!C24</f>
        <v>0</v>
      </c>
      <c r="D6" s="19"/>
      <c r="E6" s="17" t="s">
        <v>81</v>
      </c>
      <c r="F6" s="209">
        <f>MODULEINPUT!F38</f>
        <v>0</v>
      </c>
      <c r="G6" s="573" t="e">
        <f>IF(AJ19="FAIL","As &gt; As,max " &amp; AK19,"")</f>
        <v>#N/A</v>
      </c>
      <c r="H6" s="17" t="s">
        <v>89</v>
      </c>
      <c r="I6" s="210" t="str">
        <f>MODULEINPUT!H24</f>
        <v/>
      </c>
      <c r="J6" s="18"/>
      <c r="K6" s="185"/>
      <c r="L6" s="186" t="s">
        <v>102</v>
      </c>
      <c r="M6" s="193">
        <f>LINTEL4!$C8</f>
        <v>0</v>
      </c>
      <c r="N6" s="185" t="s">
        <v>87</v>
      </c>
      <c r="O6" s="185"/>
      <c r="P6" s="211" t="s">
        <v>103</v>
      </c>
      <c r="Q6" s="212">
        <f>F9</f>
        <v>0</v>
      </c>
      <c r="R6" s="175"/>
      <c r="S6" s="185"/>
      <c r="T6" s="203" t="s">
        <v>104</v>
      </c>
      <c r="U6" s="195" t="str">
        <f>LINTEL4!$I8</f>
        <v/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105</v>
      </c>
      <c r="C7" s="214">
        <f>MODULEINPUT!D24</f>
        <v>0</v>
      </c>
      <c r="D7" s="19"/>
      <c r="E7" s="17" t="s">
        <v>88</v>
      </c>
      <c r="F7" s="215">
        <f>MODULEINPUT!G38*F9</f>
        <v>0</v>
      </c>
      <c r="G7" s="574"/>
      <c r="H7" s="17" t="s">
        <v>97</v>
      </c>
      <c r="I7" s="216" t="str">
        <f>MODULEINPUT!I24</f>
        <v/>
      </c>
      <c r="J7" s="18"/>
      <c r="K7" s="185"/>
      <c r="L7" s="186" t="s">
        <v>106</v>
      </c>
      <c r="M7" s="193">
        <f>LINTEL4!$C9</f>
        <v>0</v>
      </c>
      <c r="N7" s="185" t="s">
        <v>87</v>
      </c>
      <c r="O7" s="185"/>
      <c r="P7" s="186" t="s">
        <v>107</v>
      </c>
      <c r="Q7" s="217">
        <f>LINTEL4!$F11</f>
        <v>0</v>
      </c>
      <c r="R7" s="185" t="s">
        <v>82</v>
      </c>
      <c r="S7" s="185"/>
      <c r="T7" s="203" t="s">
        <v>108</v>
      </c>
      <c r="U7" s="218">
        <f>LINTEL4!$I9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102</v>
      </c>
      <c r="C8" s="219">
        <f>MODULEINPUT!C38</f>
        <v>0</v>
      </c>
      <c r="D8" s="19"/>
      <c r="E8" s="17" t="s">
        <v>96</v>
      </c>
      <c r="F8" s="220">
        <f>MODULEINPUT!E38</f>
        <v>0</v>
      </c>
      <c r="G8" s="575"/>
      <c r="H8" s="17" t="s">
        <v>104</v>
      </c>
      <c r="I8" s="216" t="str">
        <f>MODULEINPUT!J24</f>
        <v/>
      </c>
      <c r="J8" s="18"/>
      <c r="K8" s="185"/>
      <c r="L8" s="186" t="s">
        <v>110</v>
      </c>
      <c r="M8" s="193">
        <f>LINTEL4!$C10-0.0000001</f>
        <v>-9.9999999999999995E-8</v>
      </c>
      <c r="N8" s="185" t="s">
        <v>87</v>
      </c>
      <c r="O8" s="185"/>
      <c r="P8" s="186" t="s">
        <v>111</v>
      </c>
      <c r="Q8" s="217" t="e">
        <f>LINTEL4!$F12</f>
        <v>#N/A</v>
      </c>
      <c r="R8" s="185" t="s">
        <v>82</v>
      </c>
      <c r="S8" s="185"/>
      <c r="T8" s="203" t="s">
        <v>112</v>
      </c>
      <c r="U8" s="218" t="e">
        <f ca="1">LINTEL4!$I10</f>
        <v>#N/A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106</v>
      </c>
      <c r="C9" s="219">
        <f>MODULEINPUT!D38</f>
        <v>0</v>
      </c>
      <c r="D9" s="19"/>
      <c r="E9" s="17" t="s">
        <v>103</v>
      </c>
      <c r="F9" s="221">
        <f>MODULEINPUT!H38</f>
        <v>0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 t="e">
        <f>Z20</f>
        <v>#N/A</v>
      </c>
      <c r="N9" s="185" t="s">
        <v>115</v>
      </c>
      <c r="O9" s="185"/>
      <c r="P9" s="186" t="s">
        <v>116</v>
      </c>
      <c r="Q9" s="194">
        <f>LINTEL4!$F13</f>
        <v>0</v>
      </c>
      <c r="R9" s="185"/>
      <c r="S9" s="185"/>
      <c r="T9" s="203" t="s">
        <v>13</v>
      </c>
      <c r="U9" s="185" t="b">
        <f>IF(LINTEL4!$I11="y",TRUE,FALSE)</f>
        <v>1</v>
      </c>
      <c r="V9" s="185"/>
      <c r="W9" s="188"/>
      <c r="X9" s="224" t="s">
        <v>117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110</v>
      </c>
      <c r="C10" s="219">
        <f>MODULEINPUT!E24</f>
        <v>0</v>
      </c>
      <c r="D10" s="19"/>
      <c r="E10" s="19"/>
      <c r="F10" s="40"/>
      <c r="G10" s="19"/>
      <c r="H10" s="17" t="s">
        <v>112</v>
      </c>
      <c r="I10" s="222" t="e">
        <f ca="1">M22</f>
        <v>#N/A</v>
      </c>
      <c r="J10" s="18"/>
      <c r="K10" s="185"/>
      <c r="L10" s="186" t="s">
        <v>118</v>
      </c>
      <c r="M10" s="226">
        <f>LINTEL4!$C12</f>
        <v>2000</v>
      </c>
      <c r="N10" s="185" t="s">
        <v>119</v>
      </c>
      <c r="O10" s="185"/>
      <c r="P10" s="186" t="s">
        <v>96</v>
      </c>
      <c r="Q10" s="202">
        <f>LINTEL4!$F14</f>
        <v>0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122</v>
      </c>
      <c r="C11" s="228">
        <f>MODULEINPUT!B38</f>
        <v>0</v>
      </c>
      <c r="D11" s="19"/>
      <c r="E11" s="17" t="s">
        <v>107</v>
      </c>
      <c r="F11" s="209">
        <f>MODULEINPUT!J38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MODULEINPUT!K38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 t="e">
        <f>IF(MODULEINPUT!K38=1,M5/2,M5-2-F14/16)</f>
        <v>#N/A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>
        <f>LINTEL4!$C11</f>
        <v>0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116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96</v>
      </c>
      <c r="F14" s="220">
        <f>MODULEINPUT!I38</f>
        <v>0</v>
      </c>
      <c r="G14" s="19"/>
      <c r="H14" s="19"/>
      <c r="I14" s="19"/>
      <c r="J14" s="18"/>
      <c r="K14" s="185"/>
      <c r="L14" s="175"/>
      <c r="M14" s="186" t="s">
        <v>131</v>
      </c>
      <c r="N14" s="246" t="e">
        <f>M4*12/M5</f>
        <v>#N/A</v>
      </c>
      <c r="O14" s="185" t="s">
        <v>132</v>
      </c>
      <c r="P14" s="185"/>
      <c r="Q14" s="185"/>
      <c r="R14" s="211" t="s">
        <v>133</v>
      </c>
      <c r="S14" s="247" t="e">
        <f>(M9/2-4+Q7)/12</f>
        <v>#N/A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 t="e">
        <f>AC21</f>
        <v>#N/A</v>
      </c>
      <c r="O15" s="185" t="s">
        <v>109</v>
      </c>
      <c r="P15" s="185"/>
      <c r="Q15" s="185"/>
      <c r="R15" s="211" t="s">
        <v>141</v>
      </c>
      <c r="S15" s="247">
        <f>M7/2</f>
        <v>0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 t="e">
        <f>LINTEL4!$B23</f>
        <v>#VALUE!</v>
      </c>
      <c r="AH15" s="254" t="s">
        <v>143</v>
      </c>
      <c r="AI15" s="253" t="e">
        <f>LINTEL4!$D23</f>
        <v>#N/A</v>
      </c>
      <c r="AJ15" s="255" t="e">
        <f>AB86</f>
        <v>#N/A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 t="e">
        <f>AA9</f>
        <v>#N/A</v>
      </c>
      <c r="O16" s="185" t="s">
        <v>109</v>
      </c>
      <c r="P16" s="185"/>
      <c r="Q16" s="185"/>
      <c r="R16" s="186" t="s">
        <v>147</v>
      </c>
      <c r="S16" s="246" t="e">
        <f>N18+N17*S15+U4*S15</f>
        <v>#N/A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 t="e">
        <f>LINTEL4!$B24</f>
        <v>#VALUE!</v>
      </c>
      <c r="AH16" s="254" t="s">
        <v>151</v>
      </c>
      <c r="AI16" s="260" t="e">
        <f>LINTEL4!$D24</f>
        <v>#VALUE!</v>
      </c>
      <c r="AJ16" s="255" t="e">
        <f>AB79</f>
        <v>#VALUE!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</row>
    <row r="17" spans="1:48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 t="e">
        <f>(M4-M6-Q3/12)*N15+Q3/12*N16</f>
        <v>#N/A</v>
      </c>
      <c r="O17" s="185" t="s">
        <v>90</v>
      </c>
      <c r="P17" s="185"/>
      <c r="Q17" s="185"/>
      <c r="R17" s="186" t="s">
        <v>154</v>
      </c>
      <c r="S17" s="185" t="e">
        <f>U5*S15</f>
        <v>#VALUE!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 t="e">
        <f>1.3*Y91/1000</f>
        <v>#N/A</v>
      </c>
      <c r="AH17" s="254" t="s">
        <v>157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158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 t="e">
        <f>AA9*Q7/12*M4</f>
        <v>#N/A</v>
      </c>
      <c r="O18" s="185" t="s">
        <v>148</v>
      </c>
      <c r="P18" s="185"/>
      <c r="Q18" s="185"/>
      <c r="R18" s="186" t="s">
        <v>160</v>
      </c>
      <c r="S18" s="185" t="e">
        <f>U6*(S15+Q7/12)</f>
        <v>#VALUE!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 t="e">
        <f>Y106</f>
        <v>#VALUE!</v>
      </c>
      <c r="AH18" s="269" t="s">
        <v>163</v>
      </c>
      <c r="AI18" s="268">
        <f>Y105</f>
        <v>0</v>
      </c>
      <c r="AJ18" s="255" t="e">
        <f>AB106</f>
        <v>#VALUE!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164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 t="e">
        <f>S14*U7</f>
        <v>#N/A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 t="e">
        <f>Y94</f>
        <v>#N/A</v>
      </c>
      <c r="AH19" s="269" t="s">
        <v>168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169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MODULEINPUT!B24</f>
        <v>0</v>
      </c>
      <c r="N20" s="175"/>
      <c r="O20" s="175"/>
      <c r="P20" s="185"/>
      <c r="Q20" s="185"/>
      <c r="R20" s="186" t="s">
        <v>171</v>
      </c>
      <c r="S20" s="175">
        <f>U7*S15</f>
        <v>0</v>
      </c>
      <c r="T20" s="266" t="s">
        <v>172</v>
      </c>
      <c r="U20" s="185"/>
      <c r="V20" s="185"/>
      <c r="W20" s="188"/>
      <c r="X20" s="225" t="s">
        <v>117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173</v>
      </c>
      <c r="AG20" s="260" t="e">
        <f>AG16</f>
        <v>#VALUE!</v>
      </c>
      <c r="AH20" s="269" t="s">
        <v>174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175</v>
      </c>
      <c r="S21" s="247" t="e">
        <f ca="1">S14*U8</f>
        <v>#N/A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48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 t="e">
        <f ca="1">MODULEINPUT!P5*M21</f>
        <v>#N/A</v>
      </c>
      <c r="N22" s="185"/>
      <c r="O22" s="185"/>
      <c r="P22" s="185"/>
      <c r="Q22" s="185"/>
      <c r="R22" s="186" t="s">
        <v>178</v>
      </c>
      <c r="S22" s="175" t="e">
        <f ca="1">U8*S15</f>
        <v>#N/A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48" ht="15.75" customHeight="1">
      <c r="A23" s="17" t="s">
        <v>142</v>
      </c>
      <c r="B23" s="281" t="e">
        <f t="shared" ref="B23:B24" si="3">Y59/1000</f>
        <v>#VALUE!</v>
      </c>
      <c r="C23" s="17" t="s">
        <v>143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150</v>
      </c>
      <c r="B24" s="287" t="e">
        <f t="shared" si="3"/>
        <v>#VALUE!</v>
      </c>
      <c r="C24" s="17" t="s">
        <v>151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 t="e">
        <f ca="1">LINTEL4!$B31</f>
        <v>#N/A</v>
      </c>
      <c r="AH24" s="254" t="s">
        <v>143</v>
      </c>
      <c r="AI24" s="253" t="e">
        <f>LINTEL4!$D31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 t="e">
        <f ca="1">LINTEL4!$B32</f>
        <v>#N/A</v>
      </c>
      <c r="AH25" s="254" t="s">
        <v>143</v>
      </c>
      <c r="AI25" s="253" t="e">
        <f>LINTEL4!$D32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184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 t="e">
        <f ca="1">LINTEL4!$B33</f>
        <v>#N/A</v>
      </c>
      <c r="AH26" s="254" t="s">
        <v>151</v>
      </c>
      <c r="AI26" s="260" t="e">
        <f ca="1">LINTEL4!$D33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188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 t="e">
        <f>LINTEL4!$B34</f>
        <v>#N/A</v>
      </c>
      <c r="AH27" s="299" t="s">
        <v>192</v>
      </c>
      <c r="AI27" s="298" t="e">
        <f>LINTEL4!$D34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72" t="e">
        <f>IF(AJ17="FAIL",AK17,IF(AJ18="FAIL","Deflection Fails",IF(AJ20="FAIL",AK20,"")))</f>
        <v>#N/A</v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 t="e">
        <f>1*S19</f>
        <v>#N/A</v>
      </c>
      <c r="N28" s="207">
        <f>1*S20</f>
        <v>0</v>
      </c>
      <c r="O28" s="185"/>
      <c r="P28" s="207"/>
      <c r="Q28" s="305" t="s">
        <v>181</v>
      </c>
      <c r="R28" s="306" t="e">
        <f ca="1">S145</f>
        <v>#N/A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90</v>
      </c>
      <c r="P29" s="207"/>
      <c r="Q29" s="312" t="s">
        <v>183</v>
      </c>
      <c r="R29" s="313" t="e">
        <f t="shared" ref="R29:R30" ca="1" si="11">S147</f>
        <v>#N/A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 t="e">
        <f t="shared" ca="1" si="11"/>
        <v>#N/A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181</v>
      </c>
      <c r="B31" s="319" t="e">
        <f t="shared" ref="B31:B34" ca="1" si="12">M86/1000</f>
        <v>#N/A</v>
      </c>
      <c r="C31" s="318" t="s">
        <v>143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183</v>
      </c>
      <c r="B32" s="319" t="e">
        <f t="shared" ca="1" si="12"/>
        <v>#N/A</v>
      </c>
      <c r="C32" s="318" t="s">
        <v>143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 t="e">
        <f>(VLOOKUP(Q10,X26:Y32,2,FALSE))*Q9</f>
        <v>#N/A</v>
      </c>
      <c r="N32" s="266" t="s">
        <v>198</v>
      </c>
      <c r="O32" s="320" t="s">
        <v>199</v>
      </c>
      <c r="P32" s="321" t="e">
        <f>0.8*M35</f>
        <v>#N/A</v>
      </c>
      <c r="Q32" s="186"/>
      <c r="R32" s="313"/>
      <c r="S32" s="207"/>
      <c r="T32" s="186" t="s">
        <v>200</v>
      </c>
      <c r="U32" s="313" t="e">
        <f>(0.8*M10*P32*P33*(M34-P32/2))/12</f>
        <v>#N/A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150</v>
      </c>
      <c r="B33" s="324" t="e">
        <f t="shared" ca="1" si="12"/>
        <v>#N/A</v>
      </c>
      <c r="C33" s="318" t="s">
        <v>151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0</v>
      </c>
      <c r="Q33" s="186"/>
      <c r="R33" s="313"/>
      <c r="S33" s="207"/>
      <c r="T33" s="186" t="s">
        <v>203</v>
      </c>
      <c r="U33" s="313" t="e">
        <f>(M32*M33*(M34-P32/2))/12</f>
        <v>#N/A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 t="e">
        <f t="shared" si="12"/>
        <v>#N/A</v>
      </c>
      <c r="C34" s="318" t="s">
        <v>192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 t="e">
        <f>Q8</f>
        <v>#N/A</v>
      </c>
      <c r="N34" s="266" t="s">
        <v>205</v>
      </c>
      <c r="O34" s="320" t="s">
        <v>206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 t="e">
        <f>(0.0025/(0.0025+0.002069))*M34</f>
        <v>#N/A</v>
      </c>
      <c r="N35" s="266" t="s">
        <v>82</v>
      </c>
      <c r="O35" s="326" t="s">
        <v>157</v>
      </c>
      <c r="P35" s="327" t="e">
        <f>MIN(U32:U33)</f>
        <v>#N/A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ROUND(LINTEL4!F6/8,0)</f>
        <v>0</v>
      </c>
      <c r="D39" s="40" t="str">
        <f>""</f>
        <v/>
      </c>
      <c r="E39" s="40"/>
      <c r="F39" s="40"/>
      <c r="G39" s="93" t="s">
        <v>214</v>
      </c>
      <c r="H39" s="44">
        <f>ROUND(LINTEL4!F11/8,0)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CONCATENATE("(",LINTEL4!F7,")"," #",LINTEL4!F8)</f>
        <v>(0) #0</v>
      </c>
      <c r="D40" s="19"/>
      <c r="E40" s="19"/>
      <c r="F40" s="19"/>
      <c r="G40" s="17" t="s">
        <v>217</v>
      </c>
      <c r="H40" s="15" t="str">
        <f>CONCATENATE("(", IF(Q11=2,LINTEL4!F13*2,LINTEL4!F13),")"," #",LINTEL4!F14)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0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219</v>
      </c>
      <c r="D41" s="15" t="s">
        <v>220</v>
      </c>
      <c r="E41" s="19"/>
      <c r="F41" s="19"/>
      <c r="G41" s="17" t="s">
        <v>221</v>
      </c>
      <c r="H41" s="347" t="e">
        <f>LINTEL4!F12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125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0.66666666666666663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 t="e">
        <f>(Y44-Q3/12)*N15+Q3/12*N16</f>
        <v>#N/A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228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229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230</v>
      </c>
      <c r="Y49" s="362" t="e">
        <f>IF(Y43="No",U4+N17,Y45)</f>
        <v>#VALUE!</v>
      </c>
      <c r="Z49" s="266" t="s">
        <v>90</v>
      </c>
      <c r="AA49" s="363" t="s">
        <v>231</v>
      </c>
      <c r="AB49" s="364" t="e">
        <f>SUM(Y49:Y51)</f>
        <v>#VALUE!</v>
      </c>
      <c r="AC49" s="365" t="s">
        <v>90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232</v>
      </c>
      <c r="Y50" s="362" t="str">
        <f>IF(Y43="No",U5,0)</f>
        <v/>
      </c>
      <c r="Z50" s="266" t="s">
        <v>90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78"/>
      <c r="T51" s="579"/>
      <c r="U51" s="579"/>
      <c r="V51" s="580"/>
      <c r="W51" s="231"/>
      <c r="X51" s="207" t="s">
        <v>233</v>
      </c>
      <c r="Y51" s="362" t="str">
        <f>IF(Y43="No",U6,0)</f>
        <v/>
      </c>
      <c r="Z51" s="266" t="s">
        <v>90</v>
      </c>
      <c r="AA51" s="370" t="s">
        <v>234</v>
      </c>
      <c r="AB51" s="371" t="e">
        <f>AB49*(Y40^2)/8</f>
        <v>#VALUE!</v>
      </c>
      <c r="AC51" s="368" t="s">
        <v>235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236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191</v>
      </c>
      <c r="M55" s="379" t="e">
        <f>1.2*S16+1.6*(MAX(S17:S18))+0.8*(MIN(S17:S18))</f>
        <v>#N/A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 t="e">
        <f>1.2*Y49+1.6*Y50+0.5*Y51</f>
        <v>#VALUE!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240</v>
      </c>
      <c r="M56" s="185" t="e">
        <f>Q7*M5</f>
        <v>#N/A</v>
      </c>
      <c r="N56" s="185" t="s">
        <v>198</v>
      </c>
      <c r="O56" s="175"/>
      <c r="P56" s="211" t="s">
        <v>241</v>
      </c>
      <c r="Q56" s="381" t="e">
        <f>0.8*(0.8*M10*(M56-M32)+(M33*M32))*(1-(M59/140)^2)</f>
        <v>#N/A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 t="e">
        <f>1.2*Y49+1.6*Y51+Z54*Y50</f>
        <v>#VALUE!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244</v>
      </c>
      <c r="M57" s="265" t="e">
        <f>Q7*M5^3/12</f>
        <v>#N/A</v>
      </c>
      <c r="N57" s="185" t="s">
        <v>245</v>
      </c>
      <c r="O57" s="175"/>
      <c r="P57" s="211" t="s">
        <v>241</v>
      </c>
      <c r="Q57" s="381" t="e">
        <f>0.8*(0.8*M10*(M56-M32)+(M33*M32))*(70/M59)^2</f>
        <v>#N/A</v>
      </c>
      <c r="R57" s="175" t="s">
        <v>246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247</v>
      </c>
      <c r="M58" s="246" t="e">
        <f>SQRT(M57/M56)</f>
        <v>#N/A</v>
      </c>
      <c r="N58" s="185"/>
      <c r="O58" s="175"/>
      <c r="P58" s="384" t="s">
        <v>241</v>
      </c>
      <c r="Q58" s="385" t="e">
        <f>IF(M59&lt;99,Q56,Q57)</f>
        <v>#N/A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248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 t="e">
        <f>(Y57*Y40^2)/8</f>
        <v>#VALUE!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 t="e">
        <f>Y57*Y40/2</f>
        <v>#VALUE!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 t="e">
        <f>M5*Q3</f>
        <v>#N/A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 t="e">
        <f>MIN(Y59*12/(Y60*Q3),1)</f>
        <v>#VALUE!</v>
      </c>
      <c r="Z65" s="207"/>
      <c r="AA65" s="207"/>
      <c r="AB65" s="186" t="s">
        <v>174</v>
      </c>
      <c r="AC65" s="362" t="e">
        <f ca="1">0.6*0.6*S149*M5*(Q7-3/8)</f>
        <v>#N/A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 t="e">
        <f>(4-1.75*Y65)*Y64*SQRT(M10)</f>
        <v>#VALUE!</v>
      </c>
      <c r="Z66" s="396" t="s">
        <v>148</v>
      </c>
      <c r="AA66" s="207"/>
      <c r="AB66" s="207" t="s">
        <v>256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257</v>
      </c>
      <c r="M67" s="320" t="e">
        <f>N14</f>
        <v>#N/A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259</v>
      </c>
      <c r="M68" s="320" t="e">
        <f>M55/M56</f>
        <v>#N/A</v>
      </c>
      <c r="N68" s="185"/>
      <c r="O68" s="185"/>
      <c r="P68" s="207"/>
      <c r="Q68" s="175"/>
      <c r="R68" s="186" t="s">
        <v>188</v>
      </c>
      <c r="S68" s="397" t="e">
        <f ca="1">5*R28*(M4*12)^2/(48*57000*SQRT(M10)*M57)</f>
        <v>#N/A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261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262</v>
      </c>
      <c r="S69" s="397" t="e">
        <f>(1/2*M5)+0.5</f>
        <v>#N/A</v>
      </c>
      <c r="T69" s="207" t="s">
        <v>82</v>
      </c>
      <c r="U69" s="207"/>
      <c r="V69" s="207"/>
      <c r="W69" s="231"/>
      <c r="X69" s="211" t="s">
        <v>263</v>
      </c>
      <c r="Y69" s="186" t="e">
        <f>0.0007*M5*Q3</f>
        <v>#N/A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264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265</v>
      </c>
      <c r="S70" s="313" t="e">
        <f ca="1">((M55*S69)+(M55*S68))/12</f>
        <v>#N/A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0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265</v>
      </c>
      <c r="S71" s="402" t="e">
        <f>IF(M67&gt;30,S70,0)</f>
        <v>#N/A</v>
      </c>
      <c r="T71" s="403" t="s">
        <v>194</v>
      </c>
      <c r="U71" s="185"/>
      <c r="V71" s="185"/>
      <c r="W71" s="188"/>
      <c r="X71" s="211" t="s">
        <v>267</v>
      </c>
      <c r="Y71" s="175" t="e">
        <f>IF(0.8*Y66&gt;Y60,0,Y60/0.8-Y66)</f>
        <v>#VALUE!</v>
      </c>
      <c r="Z71" s="175" t="s">
        <v>148</v>
      </c>
      <c r="AA71" s="175" t="s">
        <v>256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274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275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276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277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278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 t="e">
        <f>0.8*(Y71+Y66)</f>
        <v>#VALUE!</v>
      </c>
      <c r="Z79" s="396" t="s">
        <v>148</v>
      </c>
      <c r="AA79" s="185" t="s">
        <v>256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279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280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0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 t="e">
        <f>(VLOOKUP(Q5,X26:Y32,2,FALSE))*Q4</f>
        <v>#N/A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 t="e">
        <f>Y83*Y84/(0.8*M10*Q3)</f>
        <v>#N/A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181</v>
      </c>
      <c r="M86" s="265" t="e">
        <f ca="1">R28+S71</f>
        <v>#N/A</v>
      </c>
      <c r="N86" s="186" t="s">
        <v>143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143</v>
      </c>
      <c r="Y86" s="417" t="e">
        <f>0.9*(Y83*Y84*(Y82-Y85/2))/12</f>
        <v>#N/A</v>
      </c>
      <c r="Z86" s="396" t="s">
        <v>235</v>
      </c>
      <c r="AA86" s="185" t="s">
        <v>256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183</v>
      </c>
      <c r="M87" s="265" t="e">
        <f ca="1">IF(R29=0,0.01,ABS(R29))</f>
        <v>#N/A</v>
      </c>
      <c r="N87" s="186" t="s">
        <v>143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150</v>
      </c>
      <c r="M88" s="265" t="e">
        <f ca="1">R30</f>
        <v>#N/A</v>
      </c>
      <c r="N88" s="186" t="s">
        <v>151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191</v>
      </c>
      <c r="M89" s="185" t="e">
        <f>M55</f>
        <v>#N/A</v>
      </c>
      <c r="N89" s="186" t="s">
        <v>192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 t="e">
        <f>M5*(Q3^2)/6</f>
        <v>#N/A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 t="e">
        <f>Y89*Y90/12</f>
        <v>#N/A</v>
      </c>
      <c r="Z91" s="185" t="s">
        <v>235</v>
      </c>
      <c r="AA91" s="185" t="s">
        <v>256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85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295</v>
      </c>
      <c r="M94" s="426" t="e">
        <f ca="1">S21+S22</f>
        <v>#N/A</v>
      </c>
      <c r="N94" s="427"/>
      <c r="O94" s="428" t="s">
        <v>295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167</v>
      </c>
      <c r="Y94" s="431" t="e">
        <f>0.64*M10/(U10*1000)*(0.0025/(1.5*U10/29000+0.0025))*M5*Q3</f>
        <v>#N/A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296</v>
      </c>
      <c r="M95" s="432">
        <f>M8</f>
        <v>-9.9999999999999995E-8</v>
      </c>
      <c r="N95" s="427"/>
      <c r="O95" s="428" t="s">
        <v>297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256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199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300</v>
      </c>
      <c r="M98" s="433" t="e">
        <f ca="1">M94*($M$95+$M$96)^2/(2*$M$95)</f>
        <v>#N/A</v>
      </c>
      <c r="N98" s="427"/>
      <c r="O98" s="428" t="s">
        <v>300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302</v>
      </c>
      <c r="M99" s="433" t="e">
        <f ca="1">M94*($M$95^2-$M$96^2)/(2*$M$95)</f>
        <v>#N/A</v>
      </c>
      <c r="N99" s="427"/>
      <c r="O99" s="428" t="s">
        <v>302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303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304</v>
      </c>
      <c r="M100" s="433" t="e">
        <f ca="1">M94*(M95+M96)</f>
        <v>#N/A</v>
      </c>
      <c r="N100" s="427"/>
      <c r="O100" s="428" t="s">
        <v>304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305</v>
      </c>
      <c r="Y101" s="265" t="e">
        <f>M5*(Q3^3)/12</f>
        <v>#N/A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308</v>
      </c>
      <c r="Y102" s="265" t="e">
        <f>M5*(Y99^3)/3+Y98*Y83*(Y82-Y99)^2</f>
        <v>#N/A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309</v>
      </c>
      <c r="Y103" s="362" t="e">
        <f>(Y91/AB51)^3*Y101+(1-(Y91/AB51)^3)*Y102</f>
        <v>#N/A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163</v>
      </c>
      <c r="Y105" s="175">
        <f>M7*12/600</f>
        <v>0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162</v>
      </c>
      <c r="Y106" s="320" t="e">
        <f>(5*AB49/12*(M7*12)^4)/(384*900*M10*Y103)</f>
        <v>#VALUE!</v>
      </c>
      <c r="Z106" s="185" t="s">
        <v>82</v>
      </c>
      <c r="AA106" s="185" t="s">
        <v>256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310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312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313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315</v>
      </c>
      <c r="M115" s="430" t="e">
        <f t="shared" ref="M115:M116" ca="1" si="19">S21</f>
        <v>#N/A</v>
      </c>
      <c r="N115" s="427"/>
      <c r="O115" s="428" t="s">
        <v>315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316</v>
      </c>
      <c r="M116" s="430" t="e">
        <f t="shared" ca="1" si="19"/>
        <v>#N/A</v>
      </c>
      <c r="N116" s="427"/>
      <c r="O116" s="428" t="s">
        <v>316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296</v>
      </c>
      <c r="M117" s="432">
        <f>M8</f>
        <v>-9.9999999999999995E-8</v>
      </c>
      <c r="N117" s="427"/>
      <c r="O117" s="428" t="s">
        <v>317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199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202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208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300</v>
      </c>
      <c r="M122" s="433" t="e">
        <f ca="1">(M115*($M$117+$M$118)^2/2+M116*$M$120*($M$117-$M$119+$M$120/2))/$M$117</f>
        <v>#N/A</v>
      </c>
      <c r="N122" s="427"/>
      <c r="O122" s="428" t="s">
        <v>300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302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302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304</v>
      </c>
      <c r="M124" s="433" t="e">
        <f ca="1">M115*(M117+M118)+M116*M120</f>
        <v>#N/A</v>
      </c>
      <c r="N124" s="427"/>
      <c r="O124" s="428" t="s">
        <v>304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318</v>
      </c>
      <c r="M136" s="438" t="e">
        <f ca="1">M123/M115</f>
        <v>#N/A</v>
      </c>
      <c r="N136" s="437" t="e">
        <f ca="1">N127*M136/2</f>
        <v>#N/A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319</v>
      </c>
      <c r="M137" s="438" t="e">
        <f>P123/P115</f>
        <v>#N/A</v>
      </c>
      <c r="N137" s="437" t="s">
        <v>144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328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329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330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331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332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62" priority="9">
      <formula>LEN(TRIM(B28))&gt;0</formula>
    </cfRule>
  </conditionalFormatting>
  <conditionalFormatting sqref="D23:D24 D31:D34">
    <cfRule type="cellIs" dxfId="61" priority="8" operator="lessThan">
      <formula>B23</formula>
    </cfRule>
  </conditionalFormatting>
  <conditionalFormatting sqref="F6:F9 I6:I11 C6:C12 F11:F14">
    <cfRule type="expression" dxfId="60" priority="10">
      <formula>_xludf.isformula(C6)=FALSE</formula>
    </cfRule>
  </conditionalFormatting>
  <conditionalFormatting sqref="G6:G8">
    <cfRule type="notContainsBlanks" dxfId="59" priority="7">
      <formula>LEN(TRIM(G6))&gt;0</formula>
    </cfRule>
  </conditionalFormatting>
  <conditionalFormatting sqref="I44">
    <cfRule type="cellIs" dxfId="58" priority="6" operator="notEqual">
      <formula>"OK"</formula>
    </cfRule>
  </conditionalFormatting>
  <conditionalFormatting sqref="AJ15:AJ20 AJ24:AJ27">
    <cfRule type="cellIs" dxfId="57" priority="1" operator="equal">
      <formula>"PASS"</formula>
    </cfRule>
  </conditionalFormatting>
  <conditionalFormatting sqref="AM11">
    <cfRule type="cellIs" dxfId="56" priority="2" operator="equal">
      <formula>"OK"</formula>
    </cfRule>
    <cfRule type="cellIs" dxfId="55" priority="3" operator="equal">
      <formula>"TRUE"</formula>
    </cfRule>
    <cfRule type="cellIs" dxfId="54" priority="4" operator="equal">
      <formula>"PASS"</formula>
    </cfRule>
  </conditionalFormatting>
  <dataValidations count="2">
    <dataValidation type="list" allowBlank="1" sqref="C7" xr:uid="{00000000-0002-0000-0500-000000000000}">
      <formula1>$X$5:$X$8</formula1>
    </dataValidation>
    <dataValidation type="list" allowBlank="1" sqref="C11" xr:uid="{00000000-0002-0000-05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BB149"/>
  <sheetViews>
    <sheetView workbookViewId="0">
      <selection activeCell="AZ15" sqref="AZ15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  <col min="51" max="51" width="17.140625" customWidth="1"/>
    <col min="52" max="52" width="18.28515625" bestFit="1" customWidth="1"/>
    <col min="53" max="53" width="12.42578125" bestFit="1" customWidth="1"/>
    <col min="54" max="54" width="22.28515625" bestFit="1" customWidth="1"/>
  </cols>
  <sheetData>
    <row r="1" spans="1:54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  <c r="AY1" s="581" t="s">
        <v>344</v>
      </c>
      <c r="AZ1" s="581"/>
      <c r="BA1" s="581"/>
      <c r="BB1" s="581"/>
    </row>
    <row r="2" spans="1:54" ht="15.75" customHeight="1">
      <c r="A2" s="572" t="str">
        <f>MODULEINPUT!$A$3&amp; ": LINTEL DESIGN FOR "&amp;MODULEINPUT!A25</f>
        <v xml:space="preserve">CREECH DRP PH2 - LEVEL 2 OPENING: LINTEL DESIGN FOR 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  <c r="AY2" s="494" t="s">
        <v>343</v>
      </c>
      <c r="AZ2" s="493">
        <v>50</v>
      </c>
      <c r="BA2" s="493">
        <v>100</v>
      </c>
      <c r="BB2" s="493">
        <v>500</v>
      </c>
    </row>
    <row r="3" spans="1:54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LINTEL5!$F6</f>
        <v>0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  <c r="AY3" s="495" t="s">
        <v>336</v>
      </c>
      <c r="AZ3" s="491">
        <v>-38.644936187467351</v>
      </c>
      <c r="BA3" s="491">
        <v>-35.634358249933257</v>
      </c>
      <c r="BB3" s="491">
        <v>-28.643421481553975</v>
      </c>
    </row>
    <row r="4" spans="1:54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LINTEL5!$C6</f>
        <v>0</v>
      </c>
      <c r="N4" s="185" t="s">
        <v>87</v>
      </c>
      <c r="O4" s="185"/>
      <c r="P4" s="186" t="s">
        <v>88</v>
      </c>
      <c r="Q4" s="194">
        <f>LINTEL5!$F7</f>
        <v>0</v>
      </c>
      <c r="R4" s="185"/>
      <c r="S4" s="185"/>
      <c r="T4" s="186" t="s">
        <v>89</v>
      </c>
      <c r="U4" s="195" t="str">
        <f>LINTEL5!$I6</f>
        <v/>
      </c>
      <c r="V4" s="185" t="s">
        <v>90</v>
      </c>
      <c r="W4" s="188"/>
      <c r="X4" s="196">
        <f>LINTEL5!$C7</f>
        <v>0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  <c r="AY4" s="495" t="s">
        <v>341</v>
      </c>
      <c r="AZ4" s="491">
        <v>-26.216012881422287</v>
      </c>
      <c r="BA4" s="491">
        <v>-26.216012881422287</v>
      </c>
      <c r="BB4" s="491">
        <v>-17.732583882625587</v>
      </c>
    </row>
    <row r="5" spans="1:54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 t="e">
        <f>Z9</f>
        <v>#N/A</v>
      </c>
      <c r="N5" s="185" t="s">
        <v>82</v>
      </c>
      <c r="O5" s="185"/>
      <c r="P5" s="186" t="s">
        <v>96</v>
      </c>
      <c r="Q5" s="202">
        <f>LINTEL5!$F8</f>
        <v>0</v>
      </c>
      <c r="R5" s="185"/>
      <c r="S5" s="185"/>
      <c r="T5" s="203" t="s">
        <v>97</v>
      </c>
      <c r="U5" s="195" t="str">
        <f>LINTEL5!$I7</f>
        <v/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  <c r="AY5" s="495" t="s">
        <v>337</v>
      </c>
      <c r="AZ5" s="491">
        <v>-51.212388601940773</v>
      </c>
      <c r="BA5" s="491">
        <v>-47.341749928368408</v>
      </c>
      <c r="BB5" s="491">
        <v>-38.353055882080746</v>
      </c>
    </row>
    <row r="6" spans="1:54" ht="15.75" customHeight="1">
      <c r="A6" s="17"/>
      <c r="B6" s="17" t="s">
        <v>86</v>
      </c>
      <c r="C6" s="208">
        <f>MODULEINPUT!C25</f>
        <v>0</v>
      </c>
      <c r="D6" s="19"/>
      <c r="E6" s="17" t="s">
        <v>81</v>
      </c>
      <c r="F6" s="209">
        <f>MODULEINPUT!F39</f>
        <v>0</v>
      </c>
      <c r="G6" s="573" t="e">
        <f>IF(AJ19="FAIL","As &gt; As,max " &amp; AK19,"")</f>
        <v>#N/A</v>
      </c>
      <c r="H6" s="17" t="s">
        <v>89</v>
      </c>
      <c r="I6" s="210" t="str">
        <f>MODULEINPUT!H25</f>
        <v/>
      </c>
      <c r="J6" s="18"/>
      <c r="K6" s="185"/>
      <c r="L6" s="186" t="s">
        <v>102</v>
      </c>
      <c r="M6" s="193">
        <f>LINTEL5!$C8</f>
        <v>0</v>
      </c>
      <c r="N6" s="185" t="s">
        <v>87</v>
      </c>
      <c r="O6" s="185"/>
      <c r="P6" s="211" t="s">
        <v>103</v>
      </c>
      <c r="Q6" s="212">
        <f>F9</f>
        <v>0</v>
      </c>
      <c r="R6" s="175"/>
      <c r="S6" s="185"/>
      <c r="T6" s="203" t="s">
        <v>104</v>
      </c>
      <c r="U6" s="195" t="str">
        <f>LINTEL5!$I8</f>
        <v/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  <c r="AY6" s="495" t="s">
        <v>338</v>
      </c>
      <c r="AZ6" s="491">
        <v>-64.070024636001037</v>
      </c>
      <c r="BA6" s="491">
        <v>-56.328016566055936</v>
      </c>
      <c r="BB6" s="491">
        <v>-38.353055882080746</v>
      </c>
    </row>
    <row r="7" spans="1:54" ht="15.75" customHeight="1">
      <c r="A7" s="17"/>
      <c r="B7" s="17" t="s">
        <v>105</v>
      </c>
      <c r="C7" s="214">
        <f>MODULEINPUT!D25</f>
        <v>0</v>
      </c>
      <c r="D7" s="19"/>
      <c r="E7" s="17" t="s">
        <v>88</v>
      </c>
      <c r="F7" s="215">
        <f>MODULEINPUT!G39*F9</f>
        <v>0</v>
      </c>
      <c r="G7" s="574"/>
      <c r="H7" s="17" t="s">
        <v>97</v>
      </c>
      <c r="I7" s="216" t="str">
        <f>MODULEINPUT!I25</f>
        <v/>
      </c>
      <c r="J7" s="18"/>
      <c r="K7" s="185"/>
      <c r="L7" s="186" t="s">
        <v>106</v>
      </c>
      <c r="M7" s="193">
        <f>LINTEL5!$C9</f>
        <v>0</v>
      </c>
      <c r="N7" s="185" t="s">
        <v>87</v>
      </c>
      <c r="O7" s="185"/>
      <c r="P7" s="186" t="s">
        <v>107</v>
      </c>
      <c r="Q7" s="217">
        <f>LINTEL5!$F11</f>
        <v>0</v>
      </c>
      <c r="R7" s="185" t="s">
        <v>82</v>
      </c>
      <c r="S7" s="185"/>
      <c r="T7" s="203" t="s">
        <v>108</v>
      </c>
      <c r="U7" s="218">
        <f>LINTEL5!$I9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  <c r="AY7" s="495" t="s">
        <v>342</v>
      </c>
      <c r="AZ7" s="491">
        <v>16</v>
      </c>
      <c r="BA7" s="491">
        <v>16</v>
      </c>
      <c r="BB7" s="491">
        <v>16</v>
      </c>
    </row>
    <row r="8" spans="1:54" ht="15.75" customHeight="1">
      <c r="A8" s="17"/>
      <c r="B8" s="17" t="s">
        <v>102</v>
      </c>
      <c r="C8" s="219">
        <f>MODULEINPUT!C39</f>
        <v>0</v>
      </c>
      <c r="D8" s="19"/>
      <c r="E8" s="17" t="s">
        <v>96</v>
      </c>
      <c r="F8" s="220">
        <f>MODULEINPUT!E39</f>
        <v>0</v>
      </c>
      <c r="G8" s="575"/>
      <c r="H8" s="17" t="s">
        <v>104</v>
      </c>
      <c r="I8" s="216" t="str">
        <f>MODULEINPUT!J25</f>
        <v/>
      </c>
      <c r="J8" s="18"/>
      <c r="K8" s="185"/>
      <c r="L8" s="186" t="s">
        <v>110</v>
      </c>
      <c r="M8" s="193">
        <f>LINTEL5!$C10-0.0000001</f>
        <v>-9.9999999999999995E-8</v>
      </c>
      <c r="N8" s="185" t="s">
        <v>87</v>
      </c>
      <c r="O8" s="185"/>
      <c r="P8" s="186" t="s">
        <v>111</v>
      </c>
      <c r="Q8" s="217" t="e">
        <f>LINTEL5!$F12</f>
        <v>#N/A</v>
      </c>
      <c r="R8" s="185" t="s">
        <v>82</v>
      </c>
      <c r="S8" s="185"/>
      <c r="T8" s="203" t="s">
        <v>112</v>
      </c>
      <c r="U8" s="218" t="e">
        <f ca="1">LINTEL5!$I10</f>
        <v>#N/A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  <c r="AY8" s="490"/>
    </row>
    <row r="9" spans="1:54" ht="15.75" customHeight="1">
      <c r="A9" s="17"/>
      <c r="B9" s="17" t="s">
        <v>106</v>
      </c>
      <c r="C9" s="219">
        <f>MODULEINPUT!D39</f>
        <v>0</v>
      </c>
      <c r="D9" s="19"/>
      <c r="E9" s="17" t="s">
        <v>103</v>
      </c>
      <c r="F9" s="221">
        <f>MODULEINPUT!H39</f>
        <v>0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 t="e">
        <f>Z20</f>
        <v>#N/A</v>
      </c>
      <c r="N9" s="185" t="s">
        <v>115</v>
      </c>
      <c r="O9" s="185"/>
      <c r="P9" s="186" t="s">
        <v>116</v>
      </c>
      <c r="Q9" s="194">
        <f>LINTEL5!$F13</f>
        <v>0</v>
      </c>
      <c r="R9" s="185"/>
      <c r="S9" s="185"/>
      <c r="T9" s="203" t="s">
        <v>13</v>
      </c>
      <c r="U9" s="185" t="b">
        <f>IF(LINTEL5!$I11="y",TRUE,FALSE)</f>
        <v>1</v>
      </c>
      <c r="V9" s="185"/>
      <c r="W9" s="188"/>
      <c r="X9" s="224" t="s">
        <v>117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54" ht="15.75" customHeight="1">
      <c r="A10" s="17"/>
      <c r="B10" s="17" t="s">
        <v>110</v>
      </c>
      <c r="C10" s="219">
        <f>MODULEINPUT!E25</f>
        <v>0</v>
      </c>
      <c r="D10" s="19"/>
      <c r="E10" s="19"/>
      <c r="F10" s="40"/>
      <c r="G10" s="19"/>
      <c r="H10" s="17" t="s">
        <v>112</v>
      </c>
      <c r="I10" s="222" t="e">
        <f ca="1">M22</f>
        <v>#N/A</v>
      </c>
      <c r="J10" s="18"/>
      <c r="K10" s="185"/>
      <c r="L10" s="186" t="s">
        <v>118</v>
      </c>
      <c r="M10" s="226">
        <f>LINTEL5!$C12</f>
        <v>2000</v>
      </c>
      <c r="N10" s="185" t="s">
        <v>119</v>
      </c>
      <c r="O10" s="185"/>
      <c r="P10" s="186" t="s">
        <v>96</v>
      </c>
      <c r="Q10" s="202">
        <f>LINTEL5!$F14</f>
        <v>0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  <c r="AY10" s="581" t="s">
        <v>344</v>
      </c>
      <c r="AZ10" s="581"/>
      <c r="BA10" s="581"/>
      <c r="BB10" s="581"/>
    </row>
    <row r="11" spans="1:54" ht="15.75" customHeight="1">
      <c r="A11" s="17"/>
      <c r="B11" s="17" t="s">
        <v>122</v>
      </c>
      <c r="C11" s="228">
        <f>MODULEINPUT!B39</f>
        <v>0</v>
      </c>
      <c r="D11" s="19"/>
      <c r="E11" s="17" t="s">
        <v>107</v>
      </c>
      <c r="F11" s="209">
        <f>MODULEINPUT!J39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MODULEINPUT!K39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  <c r="AY11" s="494" t="s">
        <v>343</v>
      </c>
      <c r="AZ11" s="493">
        <v>10</v>
      </c>
      <c r="BA11" s="493">
        <v>100</v>
      </c>
      <c r="BB11" s="493">
        <v>200</v>
      </c>
    </row>
    <row r="12" spans="1:54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 t="e">
        <f>IF(MODULEINPUT!K39=1,M5/2,M5-2-F14/16)</f>
        <v>#N/A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>
        <f>LINTEL5!$C11</f>
        <v>0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  <c r="AY12" s="497" t="s">
        <v>339</v>
      </c>
      <c r="AZ12" s="491">
        <v>-28.400680621540815</v>
      </c>
      <c r="BA12" s="491">
        <v>-24.542557392491499</v>
      </c>
      <c r="BB12" s="491">
        <v>-23.381146573579677</v>
      </c>
    </row>
    <row r="13" spans="1:54" ht="15.75" customHeight="1">
      <c r="A13" s="17"/>
      <c r="B13" s="19"/>
      <c r="C13" s="40"/>
      <c r="D13" s="19"/>
      <c r="E13" s="17" t="s">
        <v>116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  <c r="AY13" s="495" t="s">
        <v>340</v>
      </c>
      <c r="AZ13" s="491">
        <v>-34.954683841896376</v>
      </c>
      <c r="BA13" s="491">
        <v>-27.238437383797759</v>
      </c>
      <c r="BB13" s="491">
        <v>-24.915615745974115</v>
      </c>
    </row>
    <row r="14" spans="1:54" ht="15.75" customHeight="1">
      <c r="A14" s="17"/>
      <c r="B14" s="19"/>
      <c r="C14" s="19"/>
      <c r="D14" s="19"/>
      <c r="E14" s="17" t="s">
        <v>96</v>
      </c>
      <c r="F14" s="220">
        <f>MODULEINPUT!I39</f>
        <v>0</v>
      </c>
      <c r="G14" s="19"/>
      <c r="H14" s="19"/>
      <c r="I14" s="19"/>
      <c r="J14" s="18"/>
      <c r="K14" s="185"/>
      <c r="L14" s="175"/>
      <c r="M14" s="186" t="s">
        <v>131</v>
      </c>
      <c r="N14" s="246" t="e">
        <f>M4*12/M5</f>
        <v>#N/A</v>
      </c>
      <c r="O14" s="185" t="s">
        <v>132</v>
      </c>
      <c r="P14" s="185"/>
      <c r="Q14" s="185"/>
      <c r="R14" s="211" t="s">
        <v>133</v>
      </c>
      <c r="S14" s="247" t="e">
        <f>(M9/2-4+Q7)/12</f>
        <v>#N/A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  <c r="AY14" s="495" t="s">
        <v>345</v>
      </c>
      <c r="AZ14" s="498">
        <v>26.2</v>
      </c>
      <c r="BA14" s="491">
        <v>22.357889652372979</v>
      </c>
      <c r="BB14" s="491">
        <v>21.196478833461153</v>
      </c>
    </row>
    <row r="15" spans="1:54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 t="e">
        <f>AC21</f>
        <v>#N/A</v>
      </c>
      <c r="O15" s="185" t="s">
        <v>109</v>
      </c>
      <c r="P15" s="185"/>
      <c r="Q15" s="185"/>
      <c r="R15" s="211" t="s">
        <v>141</v>
      </c>
      <c r="S15" s="247">
        <f>M7/2</f>
        <v>0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 t="e">
        <f>LINTEL5!$B23</f>
        <v>#VALUE!</v>
      </c>
      <c r="AH15" s="254" t="s">
        <v>143</v>
      </c>
      <c r="AI15" s="253" t="e">
        <f>LINTEL5!$D23</f>
        <v>#N/A</v>
      </c>
      <c r="AJ15" s="255" t="e">
        <f>AB86</f>
        <v>#N/A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54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 t="e">
        <f>AA9</f>
        <v>#N/A</v>
      </c>
      <c r="O16" s="185" t="s">
        <v>109</v>
      </c>
      <c r="P16" s="185"/>
      <c r="Q16" s="185"/>
      <c r="R16" s="186" t="s">
        <v>147</v>
      </c>
      <c r="S16" s="246" t="e">
        <f>N18+N17*S15+U4*S15</f>
        <v>#N/A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 t="e">
        <f>LINTEL5!$B24</f>
        <v>#VALUE!</v>
      </c>
      <c r="AH16" s="254" t="s">
        <v>151</v>
      </c>
      <c r="AI16" s="260" t="e">
        <f>LINTEL5!$D24</f>
        <v>#VALUE!</v>
      </c>
      <c r="AJ16" s="255" t="e">
        <f>AB79</f>
        <v>#VALUE!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  <c r="AY16" s="581" t="s">
        <v>346</v>
      </c>
      <c r="AZ16" s="581"/>
      <c r="BA16" s="581"/>
      <c r="BB16" s="581"/>
    </row>
    <row r="17" spans="1:54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 t="e">
        <f>(M4-M6-Q3/12)*N15+Q3/12*N16</f>
        <v>#N/A</v>
      </c>
      <c r="O17" s="185" t="s">
        <v>90</v>
      </c>
      <c r="P17" s="185"/>
      <c r="Q17" s="185"/>
      <c r="R17" s="186" t="s">
        <v>154</v>
      </c>
      <c r="S17" s="185" t="e">
        <f>U5*S15</f>
        <v>#VALUE!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 t="e">
        <f>1.3*Y91/1000</f>
        <v>#N/A</v>
      </c>
      <c r="AH17" s="254" t="s">
        <v>157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  <c r="AY17" s="494" t="s">
        <v>347</v>
      </c>
      <c r="AZ17" s="492" t="s">
        <v>351</v>
      </c>
      <c r="BA17" s="492" t="s">
        <v>349</v>
      </c>
      <c r="BB17" s="492" t="s">
        <v>350</v>
      </c>
    </row>
    <row r="18" spans="1:54" ht="15.75" customHeight="1">
      <c r="A18" s="19"/>
      <c r="B18" s="17" t="s">
        <v>158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 t="e">
        <f>AA9*Q7/12*M4</f>
        <v>#N/A</v>
      </c>
      <c r="O18" s="185" t="s">
        <v>148</v>
      </c>
      <c r="P18" s="185"/>
      <c r="Q18" s="185"/>
      <c r="R18" s="186" t="s">
        <v>160</v>
      </c>
      <c r="S18" s="185" t="e">
        <f>U6*(S15+Q7/12)</f>
        <v>#VALUE!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 t="e">
        <f>Y106</f>
        <v>#VALUE!</v>
      </c>
      <c r="AH18" s="269" t="s">
        <v>163</v>
      </c>
      <c r="AI18" s="268">
        <f>Y105</f>
        <v>0</v>
      </c>
      <c r="AJ18" s="255" t="e">
        <f>AB106</f>
        <v>#VALUE!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  <c r="AY18" s="495" t="s">
        <v>348</v>
      </c>
      <c r="AZ18" s="490" t="s">
        <v>353</v>
      </c>
      <c r="BA18" s="490" t="s">
        <v>352</v>
      </c>
      <c r="BB18" s="490" t="s">
        <v>354</v>
      </c>
    </row>
    <row r="19" spans="1:54" ht="15.75" customHeight="1">
      <c r="A19" s="19"/>
      <c r="B19" s="17" t="s">
        <v>164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 t="e">
        <f>S14*U7</f>
        <v>#N/A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 t="e">
        <f>Y94</f>
        <v>#N/A</v>
      </c>
      <c r="AH19" s="269" t="s">
        <v>168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  <c r="AY19" s="496"/>
    </row>
    <row r="20" spans="1:54" ht="15.75" customHeight="1">
      <c r="A20" s="19"/>
      <c r="B20" s="17" t="s">
        <v>169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MODULEINPUT!B25</f>
        <v>0</v>
      </c>
      <c r="N20" s="175"/>
      <c r="O20" s="175"/>
      <c r="P20" s="185"/>
      <c r="Q20" s="185"/>
      <c r="R20" s="186" t="s">
        <v>171</v>
      </c>
      <c r="S20" s="175">
        <f>U7*S15</f>
        <v>0</v>
      </c>
      <c r="T20" s="266" t="s">
        <v>172</v>
      </c>
      <c r="U20" s="185"/>
      <c r="V20" s="185"/>
      <c r="W20" s="188"/>
      <c r="X20" s="225" t="s">
        <v>117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173</v>
      </c>
      <c r="AG20" s="260" t="e">
        <f>AG16</f>
        <v>#VALUE!</v>
      </c>
      <c r="AH20" s="269" t="s">
        <v>174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54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175</v>
      </c>
      <c r="S21" s="247" t="e">
        <f ca="1">S14*U8</f>
        <v>#N/A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54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 t="e">
        <f ca="1">MODULEINPUT!P5*M21</f>
        <v>#N/A</v>
      </c>
      <c r="N22" s="185"/>
      <c r="O22" s="185"/>
      <c r="P22" s="185"/>
      <c r="Q22" s="185"/>
      <c r="R22" s="186" t="s">
        <v>178</v>
      </c>
      <c r="S22" s="175" t="e">
        <f ca="1">U8*S15</f>
        <v>#N/A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54" ht="15.75" customHeight="1">
      <c r="A23" s="17" t="s">
        <v>142</v>
      </c>
      <c r="B23" s="281" t="e">
        <f t="shared" ref="B23:B24" si="3">Y59/1000</f>
        <v>#VALUE!</v>
      </c>
      <c r="C23" s="17" t="s">
        <v>143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54" ht="15.75" customHeight="1">
      <c r="A24" s="17" t="s">
        <v>150</v>
      </c>
      <c r="B24" s="287" t="e">
        <f t="shared" si="3"/>
        <v>#VALUE!</v>
      </c>
      <c r="C24" s="17" t="s">
        <v>151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 t="e">
        <f ca="1">LINTEL5!$B31</f>
        <v>#N/A</v>
      </c>
      <c r="AH24" s="254" t="s">
        <v>143</v>
      </c>
      <c r="AI24" s="253" t="e">
        <f>LINTEL5!$D31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54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 t="e">
        <f ca="1">LINTEL5!$B32</f>
        <v>#N/A</v>
      </c>
      <c r="AH25" s="254" t="s">
        <v>143</v>
      </c>
      <c r="AI25" s="253" t="e">
        <f>LINTEL5!$D32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54" ht="15.75" customHeight="1">
      <c r="A26" s="19"/>
      <c r="B26" s="17" t="s">
        <v>184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 t="e">
        <f ca="1">LINTEL5!$B33</f>
        <v>#N/A</v>
      </c>
      <c r="AH26" s="254" t="s">
        <v>151</v>
      </c>
      <c r="AI26" s="260" t="e">
        <f ca="1">LINTEL5!$D33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54" ht="15.75" customHeight="1">
      <c r="A27" s="19"/>
      <c r="B27" s="19" t="s">
        <v>188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 t="e">
        <f>LINTEL5!$B34</f>
        <v>#N/A</v>
      </c>
      <c r="AH27" s="299" t="s">
        <v>192</v>
      </c>
      <c r="AI27" s="298" t="e">
        <f>LINTEL5!$D34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54" ht="15.75" customHeight="1">
      <c r="A28" s="19"/>
      <c r="B28" s="572" t="e">
        <f>IF(AJ17="FAIL",AK17,IF(AJ18="FAIL","Deflection Fails",IF(AJ20="FAIL",AK20,"")))</f>
        <v>#N/A</v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 t="e">
        <f>1*S19</f>
        <v>#N/A</v>
      </c>
      <c r="N28" s="207">
        <f>1*S20</f>
        <v>0</v>
      </c>
      <c r="O28" s="185"/>
      <c r="P28" s="207"/>
      <c r="Q28" s="305" t="s">
        <v>181</v>
      </c>
      <c r="R28" s="306" t="e">
        <f ca="1">S145</f>
        <v>#N/A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54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90</v>
      </c>
      <c r="P29" s="207"/>
      <c r="Q29" s="312" t="s">
        <v>183</v>
      </c>
      <c r="R29" s="313" t="e">
        <f t="shared" ref="R29:R30" ca="1" si="11">S147</f>
        <v>#N/A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54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 t="e">
        <f t="shared" ca="1" si="11"/>
        <v>#N/A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54" ht="15.75" customHeight="1">
      <c r="A31" s="318" t="s">
        <v>181</v>
      </c>
      <c r="B31" s="319" t="e">
        <f t="shared" ref="B31:B34" ca="1" si="12">M86/1000</f>
        <v>#N/A</v>
      </c>
      <c r="C31" s="318" t="s">
        <v>143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54" ht="15.75" customHeight="1">
      <c r="A32" s="318" t="s">
        <v>183</v>
      </c>
      <c r="B32" s="319" t="e">
        <f t="shared" ca="1" si="12"/>
        <v>#N/A</v>
      </c>
      <c r="C32" s="318" t="s">
        <v>143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 t="e">
        <f>(VLOOKUP(Q10,X26:Y32,2,FALSE))*Q9</f>
        <v>#N/A</v>
      </c>
      <c r="N32" s="266" t="s">
        <v>198</v>
      </c>
      <c r="O32" s="320" t="s">
        <v>199</v>
      </c>
      <c r="P32" s="321" t="e">
        <f>0.8*M35</f>
        <v>#N/A</v>
      </c>
      <c r="Q32" s="186"/>
      <c r="R32" s="313"/>
      <c r="S32" s="207"/>
      <c r="T32" s="186" t="s">
        <v>200</v>
      </c>
      <c r="U32" s="313" t="e">
        <f>(0.8*M10*P32*P33*(M34-P32/2))/12</f>
        <v>#N/A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150</v>
      </c>
      <c r="B33" s="324" t="e">
        <f t="shared" ca="1" si="12"/>
        <v>#N/A</v>
      </c>
      <c r="C33" s="318" t="s">
        <v>151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0</v>
      </c>
      <c r="Q33" s="186"/>
      <c r="R33" s="313"/>
      <c r="S33" s="207"/>
      <c r="T33" s="186" t="s">
        <v>203</v>
      </c>
      <c r="U33" s="313" t="e">
        <f>(M32*M33*(M34-P32/2))/12</f>
        <v>#N/A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 t="e">
        <f t="shared" si="12"/>
        <v>#N/A</v>
      </c>
      <c r="C34" s="318" t="s">
        <v>192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 t="e">
        <f>Q8</f>
        <v>#N/A</v>
      </c>
      <c r="N34" s="266" t="s">
        <v>205</v>
      </c>
      <c r="O34" s="320" t="s">
        <v>206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 t="e">
        <f>(0.0025/(0.0025+0.002069))*M34</f>
        <v>#N/A</v>
      </c>
      <c r="N35" s="266" t="s">
        <v>82</v>
      </c>
      <c r="O35" s="326" t="s">
        <v>157</v>
      </c>
      <c r="P35" s="327" t="e">
        <f>MIN(U32:U33)</f>
        <v>#N/A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ROUND(LINTEL5!F6/8,0)</f>
        <v>0</v>
      </c>
      <c r="D39" s="40" t="str">
        <f>""</f>
        <v/>
      </c>
      <c r="E39" s="40"/>
      <c r="F39" s="40"/>
      <c r="G39" s="93" t="s">
        <v>214</v>
      </c>
      <c r="H39" s="44">
        <f>ROUND(LINTEL5!F11/8,0)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CONCATENATE("(",LINTEL5!F7,")"," #",LINTEL5!F8)</f>
        <v>(0) #0</v>
      </c>
      <c r="D40" s="19"/>
      <c r="E40" s="19"/>
      <c r="F40" s="19"/>
      <c r="G40" s="17" t="s">
        <v>217</v>
      </c>
      <c r="H40" s="15" t="str">
        <f>CONCATENATE("(", IF(Q11=2,LINTEL5!F13*2,LINTEL5!F13),")"," #",LINTEL5!F14)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0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219</v>
      </c>
      <c r="D41" s="15" t="s">
        <v>220</v>
      </c>
      <c r="E41" s="19"/>
      <c r="F41" s="19"/>
      <c r="G41" s="17" t="s">
        <v>221</v>
      </c>
      <c r="H41" s="347" t="e">
        <f>LINTEL5!F12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125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0.66666666666666663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 t="e">
        <f>(Y44-Q3/12)*N15+Q3/12*N16</f>
        <v>#N/A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228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229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230</v>
      </c>
      <c r="Y49" s="362" t="e">
        <f>IF(Y43="No",U4+N17,Y45)</f>
        <v>#VALUE!</v>
      </c>
      <c r="Z49" s="266" t="s">
        <v>90</v>
      </c>
      <c r="AA49" s="363" t="s">
        <v>231</v>
      </c>
      <c r="AB49" s="364" t="e">
        <f>SUM(Y49:Y51)</f>
        <v>#VALUE!</v>
      </c>
      <c r="AC49" s="365" t="s">
        <v>90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232</v>
      </c>
      <c r="Y50" s="362" t="str">
        <f>IF(Y43="No",U5,0)</f>
        <v/>
      </c>
      <c r="Z50" s="266" t="s">
        <v>90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78"/>
      <c r="T51" s="579"/>
      <c r="U51" s="579"/>
      <c r="V51" s="580"/>
      <c r="W51" s="231"/>
      <c r="X51" s="207" t="s">
        <v>233</v>
      </c>
      <c r="Y51" s="362" t="str">
        <f>IF(Y43="No",U6,0)</f>
        <v/>
      </c>
      <c r="Z51" s="266" t="s">
        <v>90</v>
      </c>
      <c r="AA51" s="370" t="s">
        <v>234</v>
      </c>
      <c r="AB51" s="371" t="e">
        <f>AB49*(Y40^2)/8</f>
        <v>#VALUE!</v>
      </c>
      <c r="AC51" s="368" t="s">
        <v>235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236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191</v>
      </c>
      <c r="M55" s="379" t="e">
        <f>1.2*S16+1.6*(MAX(S17:S18))+0.8*(MIN(S17:S18))</f>
        <v>#N/A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 t="e">
        <f>1.2*Y49+1.6*Y50+0.5*Y51</f>
        <v>#VALUE!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240</v>
      </c>
      <c r="M56" s="185" t="e">
        <f>Q7*M5</f>
        <v>#N/A</v>
      </c>
      <c r="N56" s="185" t="s">
        <v>198</v>
      </c>
      <c r="O56" s="175"/>
      <c r="P56" s="211" t="s">
        <v>241</v>
      </c>
      <c r="Q56" s="381" t="e">
        <f>0.8*(0.8*M10*(M56-M32)+(M33*M32))*(1-(M59/140)^2)</f>
        <v>#N/A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 t="e">
        <f>1.2*Y49+1.6*Y51+Z54*Y50</f>
        <v>#VALUE!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244</v>
      </c>
      <c r="M57" s="265" t="e">
        <f>Q7*M5^3/12</f>
        <v>#N/A</v>
      </c>
      <c r="N57" s="185" t="s">
        <v>245</v>
      </c>
      <c r="O57" s="175"/>
      <c r="P57" s="211" t="s">
        <v>241</v>
      </c>
      <c r="Q57" s="381" t="e">
        <f>0.8*(0.8*M10*(M56-M32)+(M33*M32))*(70/M59)^2</f>
        <v>#N/A</v>
      </c>
      <c r="R57" s="175" t="s">
        <v>246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247</v>
      </c>
      <c r="M58" s="246" t="e">
        <f>SQRT(M57/M56)</f>
        <v>#N/A</v>
      </c>
      <c r="N58" s="185"/>
      <c r="O58" s="175"/>
      <c r="P58" s="384" t="s">
        <v>241</v>
      </c>
      <c r="Q58" s="385" t="e">
        <f>IF(M59&lt;99,Q56,Q57)</f>
        <v>#N/A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248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 t="e">
        <f>(Y57*Y40^2)/8</f>
        <v>#VALUE!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 t="e">
        <f>Y57*Y40/2</f>
        <v>#VALUE!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 t="e">
        <f>M5*Q3</f>
        <v>#N/A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 t="e">
        <f>MIN(Y59*12/(Y60*Q3),1)</f>
        <v>#VALUE!</v>
      </c>
      <c r="Z65" s="207"/>
      <c r="AA65" s="207"/>
      <c r="AB65" s="186" t="s">
        <v>174</v>
      </c>
      <c r="AC65" s="362" t="e">
        <f ca="1">0.6*0.6*S149*M5*(Q7-3/8)</f>
        <v>#N/A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 t="e">
        <f>(4-1.75*Y65)*Y64*SQRT(M10)</f>
        <v>#VALUE!</v>
      </c>
      <c r="Z66" s="396" t="s">
        <v>148</v>
      </c>
      <c r="AA66" s="207"/>
      <c r="AB66" s="207" t="s">
        <v>256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257</v>
      </c>
      <c r="M67" s="320" t="e">
        <f>N14</f>
        <v>#N/A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259</v>
      </c>
      <c r="M68" s="320" t="e">
        <f>M55/M56</f>
        <v>#N/A</v>
      </c>
      <c r="N68" s="185"/>
      <c r="O68" s="185"/>
      <c r="P68" s="207"/>
      <c r="Q68" s="175"/>
      <c r="R68" s="186" t="s">
        <v>188</v>
      </c>
      <c r="S68" s="397" t="e">
        <f ca="1">5*R28*(M4*12)^2/(48*57000*SQRT(M10)*M57)</f>
        <v>#N/A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261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262</v>
      </c>
      <c r="S69" s="397" t="e">
        <f>(1/2*M5)+0.5</f>
        <v>#N/A</v>
      </c>
      <c r="T69" s="207" t="s">
        <v>82</v>
      </c>
      <c r="U69" s="207"/>
      <c r="V69" s="207"/>
      <c r="W69" s="231"/>
      <c r="X69" s="211" t="s">
        <v>263</v>
      </c>
      <c r="Y69" s="186" t="e">
        <f>0.0007*M5*Q3</f>
        <v>#N/A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264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265</v>
      </c>
      <c r="S70" s="313" t="e">
        <f ca="1">((M55*S69)+(M55*S68))/12</f>
        <v>#N/A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0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265</v>
      </c>
      <c r="S71" s="402" t="e">
        <f>IF(M67&gt;30,S70,0)</f>
        <v>#N/A</v>
      </c>
      <c r="T71" s="403" t="s">
        <v>194</v>
      </c>
      <c r="U71" s="185"/>
      <c r="V71" s="185"/>
      <c r="W71" s="188"/>
      <c r="X71" s="211" t="s">
        <v>267</v>
      </c>
      <c r="Y71" s="175" t="e">
        <f>IF(0.8*Y66&gt;Y60,0,Y60/0.8-Y66)</f>
        <v>#VALUE!</v>
      </c>
      <c r="Z71" s="175" t="s">
        <v>148</v>
      </c>
      <c r="AA71" s="175" t="s">
        <v>256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274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275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276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277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278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 t="e">
        <f>0.8*(Y71+Y66)</f>
        <v>#VALUE!</v>
      </c>
      <c r="Z79" s="396" t="s">
        <v>148</v>
      </c>
      <c r="AA79" s="185" t="s">
        <v>256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279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280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0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 t="e">
        <f>(VLOOKUP(Q5,X26:Y32,2,FALSE))*Q4</f>
        <v>#N/A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 t="e">
        <f>Y83*Y84/(0.8*M10*Q3)</f>
        <v>#N/A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181</v>
      </c>
      <c r="M86" s="265" t="e">
        <f ca="1">R28+S71</f>
        <v>#N/A</v>
      </c>
      <c r="N86" s="186" t="s">
        <v>143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143</v>
      </c>
      <c r="Y86" s="417" t="e">
        <f>0.9*(Y83*Y84*(Y82-Y85/2))/12</f>
        <v>#N/A</v>
      </c>
      <c r="Z86" s="396" t="s">
        <v>235</v>
      </c>
      <c r="AA86" s="185" t="s">
        <v>256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183</v>
      </c>
      <c r="M87" s="265" t="e">
        <f ca="1">IF(R29=0,0.01,ABS(R29))</f>
        <v>#N/A</v>
      </c>
      <c r="N87" s="186" t="s">
        <v>143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150</v>
      </c>
      <c r="M88" s="265" t="e">
        <f ca="1">R30</f>
        <v>#N/A</v>
      </c>
      <c r="N88" s="186" t="s">
        <v>151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191</v>
      </c>
      <c r="M89" s="185" t="e">
        <f>M55</f>
        <v>#N/A</v>
      </c>
      <c r="N89" s="186" t="s">
        <v>192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 t="e">
        <f>M5*(Q3^2)/6</f>
        <v>#N/A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 t="e">
        <f>Y89*Y90/12</f>
        <v>#N/A</v>
      </c>
      <c r="Z91" s="185" t="s">
        <v>235</v>
      </c>
      <c r="AA91" s="185" t="s">
        <v>256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85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295</v>
      </c>
      <c r="M94" s="426" t="e">
        <f ca="1">S21+S22</f>
        <v>#N/A</v>
      </c>
      <c r="N94" s="427"/>
      <c r="O94" s="428" t="s">
        <v>295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167</v>
      </c>
      <c r="Y94" s="431" t="e">
        <f>0.64*M10/(U10*1000)*(0.0025/(1.5*U10/29000+0.0025))*M5*Q3</f>
        <v>#N/A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296</v>
      </c>
      <c r="M95" s="432">
        <f>M8</f>
        <v>-9.9999999999999995E-8</v>
      </c>
      <c r="N95" s="427"/>
      <c r="O95" s="428" t="s">
        <v>297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256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199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300</v>
      </c>
      <c r="M98" s="433" t="e">
        <f ca="1">M94*($M$95+$M$96)^2/(2*$M$95)</f>
        <v>#N/A</v>
      </c>
      <c r="N98" s="427"/>
      <c r="O98" s="428" t="s">
        <v>300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302</v>
      </c>
      <c r="M99" s="433" t="e">
        <f ca="1">M94*($M$95^2-$M$96^2)/(2*$M$95)</f>
        <v>#N/A</v>
      </c>
      <c r="N99" s="427"/>
      <c r="O99" s="428" t="s">
        <v>302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303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304</v>
      </c>
      <c r="M100" s="433" t="e">
        <f ca="1">M94*(M95+M96)</f>
        <v>#N/A</v>
      </c>
      <c r="N100" s="427"/>
      <c r="O100" s="428" t="s">
        <v>304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305</v>
      </c>
      <c r="Y101" s="265" t="e">
        <f>M5*(Q3^3)/12</f>
        <v>#N/A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308</v>
      </c>
      <c r="Y102" s="265" t="e">
        <f>M5*(Y99^3)/3+Y98*Y83*(Y82-Y99)^2</f>
        <v>#N/A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309</v>
      </c>
      <c r="Y103" s="362" t="e">
        <f>(Y91/AB51)^3*Y101+(1-(Y91/AB51)^3)*Y102</f>
        <v>#N/A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163</v>
      </c>
      <c r="Y105" s="175">
        <f>M7*12/600</f>
        <v>0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162</v>
      </c>
      <c r="Y106" s="320" t="e">
        <f>(5*AB49/12*(M7*12)^4)/(384*900*M10*Y103)</f>
        <v>#VALUE!</v>
      </c>
      <c r="Z106" s="185" t="s">
        <v>82</v>
      </c>
      <c r="AA106" s="185" t="s">
        <v>256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310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312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313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315</v>
      </c>
      <c r="M115" s="430" t="e">
        <f t="shared" ref="M115:M116" ca="1" si="19">S21</f>
        <v>#N/A</v>
      </c>
      <c r="N115" s="427"/>
      <c r="O115" s="428" t="s">
        <v>315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316</v>
      </c>
      <c r="M116" s="430" t="e">
        <f t="shared" ca="1" si="19"/>
        <v>#N/A</v>
      </c>
      <c r="N116" s="427"/>
      <c r="O116" s="428" t="s">
        <v>316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296</v>
      </c>
      <c r="M117" s="432">
        <f>M8</f>
        <v>-9.9999999999999995E-8</v>
      </c>
      <c r="N117" s="427"/>
      <c r="O117" s="428" t="s">
        <v>317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199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202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208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300</v>
      </c>
      <c r="M122" s="433" t="e">
        <f ca="1">(M115*($M$117+$M$118)^2/2+M116*$M$120*($M$117-$M$119+$M$120/2))/$M$117</f>
        <v>#N/A</v>
      </c>
      <c r="N122" s="427"/>
      <c r="O122" s="428" t="s">
        <v>300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302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302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304</v>
      </c>
      <c r="M124" s="433" t="e">
        <f ca="1">M115*(M117+M118)+M116*M120</f>
        <v>#N/A</v>
      </c>
      <c r="N124" s="427"/>
      <c r="O124" s="428" t="s">
        <v>304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318</v>
      </c>
      <c r="M136" s="438" t="e">
        <f ca="1">M123/M115</f>
        <v>#N/A</v>
      </c>
      <c r="N136" s="437" t="e">
        <f ca="1">N127*M136/2</f>
        <v>#N/A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319</v>
      </c>
      <c r="M137" s="438" t="e">
        <f>P123/P115</f>
        <v>#N/A</v>
      </c>
      <c r="N137" s="437" t="s">
        <v>144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328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329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330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331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332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8">
    <mergeCell ref="A36:I36"/>
    <mergeCell ref="AF22:AM22"/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Y1:BB1"/>
    <mergeCell ref="AY10:BB10"/>
    <mergeCell ref="AY16:BB16"/>
    <mergeCell ref="AF13:AM13"/>
    <mergeCell ref="AF14:AG14"/>
    <mergeCell ref="AH14:AI14"/>
    <mergeCell ref="AK14:AM14"/>
  </mergeCells>
  <phoneticPr fontId="30" type="noConversion"/>
  <conditionalFormatting sqref="B28:D28">
    <cfRule type="notContainsBlanks" dxfId="53" priority="9">
      <formula>LEN(TRIM(B28))&gt;0</formula>
    </cfRule>
  </conditionalFormatting>
  <conditionalFormatting sqref="D23:D24 D31:D34">
    <cfRule type="cellIs" dxfId="52" priority="8" operator="lessThan">
      <formula>B23</formula>
    </cfRule>
  </conditionalFormatting>
  <conditionalFormatting sqref="F6:F9 I6:I11 C6:C12 F11:F14">
    <cfRule type="expression" dxfId="51" priority="10">
      <formula>_xludf.isformula(C6)=FALSE</formula>
    </cfRule>
  </conditionalFormatting>
  <conditionalFormatting sqref="G6:G8">
    <cfRule type="notContainsBlanks" dxfId="50" priority="7">
      <formula>LEN(TRIM(G6))&gt;0</formula>
    </cfRule>
  </conditionalFormatting>
  <conditionalFormatting sqref="I44">
    <cfRule type="cellIs" dxfId="49" priority="6" operator="notEqual">
      <formula>"OK"</formula>
    </cfRule>
  </conditionalFormatting>
  <conditionalFormatting sqref="AJ15:AJ20 AJ24:AJ27">
    <cfRule type="cellIs" dxfId="48" priority="1" operator="equal">
      <formula>"PASS"</formula>
    </cfRule>
  </conditionalFormatting>
  <conditionalFormatting sqref="AM11">
    <cfRule type="cellIs" dxfId="47" priority="2" operator="equal">
      <formula>"OK"</formula>
    </cfRule>
    <cfRule type="cellIs" dxfId="46" priority="3" operator="equal">
      <formula>"TRUE"</formula>
    </cfRule>
    <cfRule type="cellIs" dxfId="45" priority="4" operator="equal">
      <formula>"PASS"</formula>
    </cfRule>
  </conditionalFormatting>
  <dataValidations count="2">
    <dataValidation type="list" allowBlank="1" sqref="C7" xr:uid="{00000000-0002-0000-0600-000000000000}">
      <formula1>$X$5:$X$8</formula1>
    </dataValidation>
    <dataValidation type="list" allowBlank="1" sqref="C11" xr:uid="{00000000-0002-0000-0600-000001000000}">
      <formula1>$X$13:$X$19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</row>
    <row r="2" spans="1:48" ht="15.75" customHeight="1">
      <c r="A2" s="572" t="str">
        <f>MODULEINPUT!$A$3&amp; ": LINTEL DESIGN FOR "&amp;MODULEINPUT!A26</f>
        <v xml:space="preserve">CREECH DRP PH2 - LEVEL 2 OPENING: LINTEL DESIGN FOR 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LINTEL6!$F6</f>
        <v>0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</row>
    <row r="4" spans="1:48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LINTEL6!$C6</f>
        <v>0</v>
      </c>
      <c r="N4" s="185" t="s">
        <v>87</v>
      </c>
      <c r="O4" s="185"/>
      <c r="P4" s="186" t="s">
        <v>88</v>
      </c>
      <c r="Q4" s="194">
        <f>LINTEL6!$F7</f>
        <v>0</v>
      </c>
      <c r="R4" s="185"/>
      <c r="S4" s="185"/>
      <c r="T4" s="186" t="s">
        <v>89</v>
      </c>
      <c r="U4" s="195" t="str">
        <f>LINTEL6!$I6</f>
        <v/>
      </c>
      <c r="V4" s="185" t="s">
        <v>90</v>
      </c>
      <c r="W4" s="188"/>
      <c r="X4" s="196">
        <f>LINTEL6!$C7</f>
        <v>0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 t="e">
        <f>Z9</f>
        <v>#N/A</v>
      </c>
      <c r="N5" s="185" t="s">
        <v>82</v>
      </c>
      <c r="O5" s="185"/>
      <c r="P5" s="186" t="s">
        <v>96</v>
      </c>
      <c r="Q5" s="202">
        <f>LINTEL6!$F8</f>
        <v>0</v>
      </c>
      <c r="R5" s="185"/>
      <c r="S5" s="185"/>
      <c r="T5" s="203" t="s">
        <v>97</v>
      </c>
      <c r="U5" s="195" t="str">
        <f>LINTEL6!$I7</f>
        <v/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86</v>
      </c>
      <c r="C6" s="208">
        <f>MODULEINPUT!C26</f>
        <v>0</v>
      </c>
      <c r="D6" s="19"/>
      <c r="E6" s="17" t="s">
        <v>81</v>
      </c>
      <c r="F6" s="209">
        <f>MODULEINPUT!F40</f>
        <v>0</v>
      </c>
      <c r="G6" s="573" t="e">
        <f>IF(AJ19="FAIL","As &gt; As,max " &amp; AK19,"")</f>
        <v>#N/A</v>
      </c>
      <c r="H6" s="17" t="s">
        <v>89</v>
      </c>
      <c r="I6" s="210" t="str">
        <f>MODULEINPUT!H26</f>
        <v/>
      </c>
      <c r="J6" s="18"/>
      <c r="K6" s="185"/>
      <c r="L6" s="186" t="s">
        <v>102</v>
      </c>
      <c r="M6" s="193">
        <f>LINTEL6!$C8</f>
        <v>0</v>
      </c>
      <c r="N6" s="185" t="s">
        <v>87</v>
      </c>
      <c r="O6" s="185"/>
      <c r="P6" s="211" t="s">
        <v>103</v>
      </c>
      <c r="Q6" s="212">
        <f>F9</f>
        <v>0</v>
      </c>
      <c r="R6" s="175"/>
      <c r="S6" s="185"/>
      <c r="T6" s="203" t="s">
        <v>104</v>
      </c>
      <c r="U6" s="195" t="str">
        <f>LINTEL6!$I8</f>
        <v/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105</v>
      </c>
      <c r="C7" s="214">
        <f>MODULEINPUT!D26</f>
        <v>0</v>
      </c>
      <c r="D7" s="19"/>
      <c r="E7" s="17" t="s">
        <v>88</v>
      </c>
      <c r="F7" s="215">
        <f>MODULEINPUT!G40*F9</f>
        <v>0</v>
      </c>
      <c r="G7" s="574"/>
      <c r="H7" s="17" t="s">
        <v>97</v>
      </c>
      <c r="I7" s="216" t="str">
        <f>MODULEINPUT!I26</f>
        <v/>
      </c>
      <c r="J7" s="18"/>
      <c r="K7" s="185"/>
      <c r="L7" s="186" t="s">
        <v>106</v>
      </c>
      <c r="M7" s="193">
        <f>LINTEL6!$C9</f>
        <v>0</v>
      </c>
      <c r="N7" s="185" t="s">
        <v>87</v>
      </c>
      <c r="O7" s="185"/>
      <c r="P7" s="186" t="s">
        <v>107</v>
      </c>
      <c r="Q7" s="217">
        <f>LINTEL6!$F11</f>
        <v>0</v>
      </c>
      <c r="R7" s="185" t="s">
        <v>82</v>
      </c>
      <c r="S7" s="185"/>
      <c r="T7" s="203" t="s">
        <v>108</v>
      </c>
      <c r="U7" s="218">
        <f>LINTEL6!$I9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102</v>
      </c>
      <c r="C8" s="219">
        <f>MODULEINPUT!C40</f>
        <v>0</v>
      </c>
      <c r="D8" s="19"/>
      <c r="E8" s="17" t="s">
        <v>96</v>
      </c>
      <c r="F8" s="220">
        <f>MODULEINPUT!E40</f>
        <v>0</v>
      </c>
      <c r="G8" s="575"/>
      <c r="H8" s="17" t="s">
        <v>104</v>
      </c>
      <c r="I8" s="216" t="str">
        <f>MODULEINPUT!J26</f>
        <v/>
      </c>
      <c r="J8" s="18"/>
      <c r="K8" s="185"/>
      <c r="L8" s="186" t="s">
        <v>110</v>
      </c>
      <c r="M8" s="193">
        <f>LINTEL6!$C10-0.0000001</f>
        <v>-9.9999999999999995E-8</v>
      </c>
      <c r="N8" s="185" t="s">
        <v>87</v>
      </c>
      <c r="O8" s="185"/>
      <c r="P8" s="186" t="s">
        <v>111</v>
      </c>
      <c r="Q8" s="217" t="e">
        <f>LINTEL6!$F12</f>
        <v>#N/A</v>
      </c>
      <c r="R8" s="185" t="s">
        <v>82</v>
      </c>
      <c r="S8" s="185"/>
      <c r="T8" s="203" t="s">
        <v>112</v>
      </c>
      <c r="U8" s="218" t="e">
        <f ca="1">LINTEL6!$I10</f>
        <v>#N/A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106</v>
      </c>
      <c r="C9" s="219">
        <f>MODULEINPUT!D40</f>
        <v>0</v>
      </c>
      <c r="D9" s="19"/>
      <c r="E9" s="17" t="s">
        <v>103</v>
      </c>
      <c r="F9" s="221">
        <f>MODULEINPUT!H40</f>
        <v>0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 t="e">
        <f>Z20</f>
        <v>#N/A</v>
      </c>
      <c r="N9" s="185" t="s">
        <v>115</v>
      </c>
      <c r="O9" s="185"/>
      <c r="P9" s="186" t="s">
        <v>116</v>
      </c>
      <c r="Q9" s="194">
        <f>LINTEL6!$F13</f>
        <v>0</v>
      </c>
      <c r="R9" s="185"/>
      <c r="S9" s="185"/>
      <c r="T9" s="203" t="s">
        <v>13</v>
      </c>
      <c r="U9" s="185" t="b">
        <f>IF(LINTEL6!$I11="y",TRUE,FALSE)</f>
        <v>1</v>
      </c>
      <c r="V9" s="185"/>
      <c r="W9" s="188"/>
      <c r="X9" s="224" t="s">
        <v>117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110</v>
      </c>
      <c r="C10" s="219">
        <f>MODULEINPUT!E26</f>
        <v>0</v>
      </c>
      <c r="D10" s="19"/>
      <c r="E10" s="19"/>
      <c r="F10" s="40"/>
      <c r="G10" s="19"/>
      <c r="H10" s="17" t="s">
        <v>112</v>
      </c>
      <c r="I10" s="222" t="e">
        <f ca="1">M22</f>
        <v>#N/A</v>
      </c>
      <c r="J10" s="18"/>
      <c r="K10" s="185"/>
      <c r="L10" s="186" t="s">
        <v>118</v>
      </c>
      <c r="M10" s="226">
        <f>LINTEL6!$C12</f>
        <v>2000</v>
      </c>
      <c r="N10" s="185" t="s">
        <v>119</v>
      </c>
      <c r="O10" s="185"/>
      <c r="P10" s="186" t="s">
        <v>96</v>
      </c>
      <c r="Q10" s="202">
        <f>LINTEL6!$F14</f>
        <v>0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122</v>
      </c>
      <c r="C11" s="228">
        <f>MODULEINPUT!B40</f>
        <v>0</v>
      </c>
      <c r="D11" s="19"/>
      <c r="E11" s="17" t="s">
        <v>107</v>
      </c>
      <c r="F11" s="209">
        <f>MODULEINPUT!J40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MODULEINPUT!K40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 t="e">
        <f>IF(MODULEINPUT!K40=1,M5/2,M5-2-F14/16)</f>
        <v>#N/A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>
        <f>LINTEL6!$C11</f>
        <v>0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116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96</v>
      </c>
      <c r="F14" s="220">
        <f>MODULEINPUT!I40</f>
        <v>0</v>
      </c>
      <c r="G14" s="19"/>
      <c r="H14" s="19"/>
      <c r="I14" s="19"/>
      <c r="J14" s="18"/>
      <c r="K14" s="185"/>
      <c r="L14" s="175"/>
      <c r="M14" s="186" t="s">
        <v>131</v>
      </c>
      <c r="N14" s="246" t="e">
        <f>M4*12/M5</f>
        <v>#N/A</v>
      </c>
      <c r="O14" s="185" t="s">
        <v>132</v>
      </c>
      <c r="P14" s="185"/>
      <c r="Q14" s="185"/>
      <c r="R14" s="211" t="s">
        <v>133</v>
      </c>
      <c r="S14" s="247" t="e">
        <f>(M9/2-4+Q7)/12</f>
        <v>#N/A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 t="e">
        <f>AC21</f>
        <v>#N/A</v>
      </c>
      <c r="O15" s="185" t="s">
        <v>109</v>
      </c>
      <c r="P15" s="185"/>
      <c r="Q15" s="185"/>
      <c r="R15" s="211" t="s">
        <v>141</v>
      </c>
      <c r="S15" s="247">
        <f>M7/2</f>
        <v>0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 t="e">
        <f>LINTEL6!$B23</f>
        <v>#VALUE!</v>
      </c>
      <c r="AH15" s="254" t="s">
        <v>143</v>
      </c>
      <c r="AI15" s="253" t="e">
        <f>LINTEL6!$D23</f>
        <v>#N/A</v>
      </c>
      <c r="AJ15" s="255" t="e">
        <f>AB86</f>
        <v>#N/A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 t="e">
        <f>AA9</f>
        <v>#N/A</v>
      </c>
      <c r="O16" s="185" t="s">
        <v>109</v>
      </c>
      <c r="P16" s="185"/>
      <c r="Q16" s="185"/>
      <c r="R16" s="186" t="s">
        <v>147</v>
      </c>
      <c r="S16" s="246" t="e">
        <f>N18+N17*S15+U4*S15</f>
        <v>#N/A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 t="e">
        <f>LINTEL6!$B24</f>
        <v>#VALUE!</v>
      </c>
      <c r="AH16" s="254" t="s">
        <v>151</v>
      </c>
      <c r="AI16" s="260" t="e">
        <f>LINTEL6!$D24</f>
        <v>#VALUE!</v>
      </c>
      <c r="AJ16" s="255" t="e">
        <f>AB79</f>
        <v>#VALUE!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</row>
    <row r="17" spans="1:48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 t="e">
        <f>(M4-M6-Q3/12)*N15+Q3/12*N16</f>
        <v>#N/A</v>
      </c>
      <c r="O17" s="185" t="s">
        <v>90</v>
      </c>
      <c r="P17" s="185"/>
      <c r="Q17" s="185"/>
      <c r="R17" s="186" t="s">
        <v>154</v>
      </c>
      <c r="S17" s="185" t="e">
        <f>U5*S15</f>
        <v>#VALUE!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 t="e">
        <f>1.3*Y91/1000</f>
        <v>#N/A</v>
      </c>
      <c r="AH17" s="254" t="s">
        <v>157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158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 t="e">
        <f>AA9*Q7/12*M4</f>
        <v>#N/A</v>
      </c>
      <c r="O18" s="185" t="s">
        <v>148</v>
      </c>
      <c r="P18" s="185"/>
      <c r="Q18" s="185"/>
      <c r="R18" s="186" t="s">
        <v>160</v>
      </c>
      <c r="S18" s="185" t="e">
        <f>U6*(S15+Q7/12)</f>
        <v>#VALUE!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 t="e">
        <f>Y106</f>
        <v>#VALUE!</v>
      </c>
      <c r="AH18" s="269" t="s">
        <v>163</v>
      </c>
      <c r="AI18" s="268">
        <f>Y105</f>
        <v>0</v>
      </c>
      <c r="AJ18" s="255" t="e">
        <f>AB106</f>
        <v>#VALUE!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164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 t="e">
        <f>S14*U7</f>
        <v>#N/A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 t="e">
        <f>Y94</f>
        <v>#N/A</v>
      </c>
      <c r="AH19" s="269" t="s">
        <v>168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169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MODULEINPUT!B26</f>
        <v>0</v>
      </c>
      <c r="N20" s="175"/>
      <c r="O20" s="175"/>
      <c r="P20" s="185"/>
      <c r="Q20" s="185"/>
      <c r="R20" s="186" t="s">
        <v>171</v>
      </c>
      <c r="S20" s="175">
        <f>U7*S15</f>
        <v>0</v>
      </c>
      <c r="T20" s="266" t="s">
        <v>172</v>
      </c>
      <c r="U20" s="185"/>
      <c r="V20" s="185"/>
      <c r="W20" s="188"/>
      <c r="X20" s="225" t="s">
        <v>117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173</v>
      </c>
      <c r="AG20" s="260" t="e">
        <f>AG16</f>
        <v>#VALUE!</v>
      </c>
      <c r="AH20" s="269" t="s">
        <v>174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175</v>
      </c>
      <c r="S21" s="247" t="e">
        <f ca="1">S14*U8</f>
        <v>#N/A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48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 t="e">
        <f ca="1">MODULEINPUT!P5*M21</f>
        <v>#N/A</v>
      </c>
      <c r="N22" s="185"/>
      <c r="O22" s="185"/>
      <c r="P22" s="185"/>
      <c r="Q22" s="185"/>
      <c r="R22" s="186" t="s">
        <v>178</v>
      </c>
      <c r="S22" s="175" t="e">
        <f ca="1">U8*S15</f>
        <v>#N/A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48" ht="15.75" customHeight="1">
      <c r="A23" s="17" t="s">
        <v>142</v>
      </c>
      <c r="B23" s="281" t="e">
        <f t="shared" ref="B23:B24" si="3">Y59/1000</f>
        <v>#VALUE!</v>
      </c>
      <c r="C23" s="17" t="s">
        <v>143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150</v>
      </c>
      <c r="B24" s="287" t="e">
        <f t="shared" si="3"/>
        <v>#VALUE!</v>
      </c>
      <c r="C24" s="17" t="s">
        <v>151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 t="e">
        <f ca="1">LINTEL6!$B31</f>
        <v>#N/A</v>
      </c>
      <c r="AH24" s="254" t="s">
        <v>143</v>
      </c>
      <c r="AI24" s="253" t="e">
        <f>LINTEL6!$D31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 t="e">
        <f ca="1">LINTEL6!$B32</f>
        <v>#N/A</v>
      </c>
      <c r="AH25" s="254" t="s">
        <v>143</v>
      </c>
      <c r="AI25" s="253" t="e">
        <f>LINTEL6!$D32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184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 t="e">
        <f ca="1">LINTEL6!$B33</f>
        <v>#N/A</v>
      </c>
      <c r="AH26" s="254" t="s">
        <v>151</v>
      </c>
      <c r="AI26" s="260" t="e">
        <f ca="1">LINTEL6!$D33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188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 t="e">
        <f>LINTEL6!$B34</f>
        <v>#N/A</v>
      </c>
      <c r="AH27" s="299" t="s">
        <v>192</v>
      </c>
      <c r="AI27" s="298" t="e">
        <f>LINTEL6!$D34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72" t="e">
        <f>IF(AJ17="FAIL",AK17,IF(AJ18="FAIL","Deflection Fails",IF(AJ20="FAIL",AK20,"")))</f>
        <v>#N/A</v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 t="e">
        <f>1*S19</f>
        <v>#N/A</v>
      </c>
      <c r="N28" s="207">
        <f>1*S20</f>
        <v>0</v>
      </c>
      <c r="O28" s="185"/>
      <c r="P28" s="207"/>
      <c r="Q28" s="305" t="s">
        <v>181</v>
      </c>
      <c r="R28" s="306" t="e">
        <f ca="1">S145</f>
        <v>#N/A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90</v>
      </c>
      <c r="P29" s="207"/>
      <c r="Q29" s="312" t="s">
        <v>183</v>
      </c>
      <c r="R29" s="313" t="e">
        <f t="shared" ref="R29:R30" ca="1" si="11">S147</f>
        <v>#N/A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 t="e">
        <f t="shared" ca="1" si="11"/>
        <v>#N/A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181</v>
      </c>
      <c r="B31" s="319" t="e">
        <f t="shared" ref="B31:B34" ca="1" si="12">M86/1000</f>
        <v>#N/A</v>
      </c>
      <c r="C31" s="318" t="s">
        <v>143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183</v>
      </c>
      <c r="B32" s="319" t="e">
        <f t="shared" ca="1" si="12"/>
        <v>#N/A</v>
      </c>
      <c r="C32" s="318" t="s">
        <v>143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 t="e">
        <f>(VLOOKUP(Q10,X26:Y32,2,FALSE))*Q9</f>
        <v>#N/A</v>
      </c>
      <c r="N32" s="266" t="s">
        <v>198</v>
      </c>
      <c r="O32" s="320" t="s">
        <v>199</v>
      </c>
      <c r="P32" s="321" t="e">
        <f>0.8*M35</f>
        <v>#N/A</v>
      </c>
      <c r="Q32" s="186"/>
      <c r="R32" s="313"/>
      <c r="S32" s="207"/>
      <c r="T32" s="186" t="s">
        <v>200</v>
      </c>
      <c r="U32" s="313" t="e">
        <f>(0.8*M10*P32*P33*(M34-P32/2))/12</f>
        <v>#N/A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150</v>
      </c>
      <c r="B33" s="324" t="e">
        <f t="shared" ca="1" si="12"/>
        <v>#N/A</v>
      </c>
      <c r="C33" s="318" t="s">
        <v>151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0</v>
      </c>
      <c r="Q33" s="186"/>
      <c r="R33" s="313"/>
      <c r="S33" s="207"/>
      <c r="T33" s="186" t="s">
        <v>203</v>
      </c>
      <c r="U33" s="313" t="e">
        <f>(M32*M33*(M34-P32/2))/12</f>
        <v>#N/A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 t="e">
        <f t="shared" si="12"/>
        <v>#N/A</v>
      </c>
      <c r="C34" s="318" t="s">
        <v>192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 t="e">
        <f>Q8</f>
        <v>#N/A</v>
      </c>
      <c r="N34" s="266" t="s">
        <v>205</v>
      </c>
      <c r="O34" s="320" t="s">
        <v>206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 t="e">
        <f>(0.0025/(0.0025+0.002069))*M34</f>
        <v>#N/A</v>
      </c>
      <c r="N35" s="266" t="s">
        <v>82</v>
      </c>
      <c r="O35" s="326" t="s">
        <v>157</v>
      </c>
      <c r="P35" s="327" t="e">
        <f>MIN(U32:U33)</f>
        <v>#N/A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ROUND(LINTEL6!F6/8,0)</f>
        <v>0</v>
      </c>
      <c r="D39" s="40" t="str">
        <f>""</f>
        <v/>
      </c>
      <c r="E39" s="40"/>
      <c r="F39" s="40"/>
      <c r="G39" s="93" t="s">
        <v>214</v>
      </c>
      <c r="H39" s="44">
        <f>ROUND(LINTEL6!F11/8,0)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CONCATENATE("(",LINTEL6!F7,")"," #",LINTEL6!F8)</f>
        <v>(0) #0</v>
      </c>
      <c r="D40" s="19"/>
      <c r="E40" s="19"/>
      <c r="F40" s="19"/>
      <c r="G40" s="17" t="s">
        <v>217</v>
      </c>
      <c r="H40" s="15" t="str">
        <f>CONCATENATE("(", IF(Q11=2,LINTEL6!F13*2,LINTEL6!F13),")"," #",LINTEL6!F14)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0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219</v>
      </c>
      <c r="D41" s="15" t="s">
        <v>220</v>
      </c>
      <c r="E41" s="19"/>
      <c r="F41" s="19"/>
      <c r="G41" s="17" t="s">
        <v>221</v>
      </c>
      <c r="H41" s="347" t="e">
        <f>LINTEL6!F12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125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0.66666666666666663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 t="e">
        <f>(Y44-Q3/12)*N15+Q3/12*N16</f>
        <v>#N/A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228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229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230</v>
      </c>
      <c r="Y49" s="362" t="e">
        <f>IF(Y43="No",U4+N17,Y45)</f>
        <v>#VALUE!</v>
      </c>
      <c r="Z49" s="266" t="s">
        <v>90</v>
      </c>
      <c r="AA49" s="363" t="s">
        <v>231</v>
      </c>
      <c r="AB49" s="364" t="e">
        <f>SUM(Y49:Y51)</f>
        <v>#VALUE!</v>
      </c>
      <c r="AC49" s="365" t="s">
        <v>90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232</v>
      </c>
      <c r="Y50" s="362" t="str">
        <f>IF(Y43="No",U5,0)</f>
        <v/>
      </c>
      <c r="Z50" s="266" t="s">
        <v>90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78"/>
      <c r="T51" s="579"/>
      <c r="U51" s="579"/>
      <c r="V51" s="580"/>
      <c r="W51" s="231"/>
      <c r="X51" s="207" t="s">
        <v>233</v>
      </c>
      <c r="Y51" s="362" t="str">
        <f>IF(Y43="No",U6,0)</f>
        <v/>
      </c>
      <c r="Z51" s="266" t="s">
        <v>90</v>
      </c>
      <c r="AA51" s="370" t="s">
        <v>234</v>
      </c>
      <c r="AB51" s="371" t="e">
        <f>AB49*(Y40^2)/8</f>
        <v>#VALUE!</v>
      </c>
      <c r="AC51" s="368" t="s">
        <v>235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236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191</v>
      </c>
      <c r="M55" s="379" t="e">
        <f>1.2*S16+1.6*(MAX(S17:S18))+0.8*(MIN(S17:S18))</f>
        <v>#N/A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 t="e">
        <f>1.2*Y49+1.6*Y50+0.5*Y51</f>
        <v>#VALUE!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240</v>
      </c>
      <c r="M56" s="185" t="e">
        <f>Q7*M5</f>
        <v>#N/A</v>
      </c>
      <c r="N56" s="185" t="s">
        <v>198</v>
      </c>
      <c r="O56" s="175"/>
      <c r="P56" s="211" t="s">
        <v>241</v>
      </c>
      <c r="Q56" s="381" t="e">
        <f>0.8*(0.8*M10*(M56-M32)+(M33*M32))*(1-(M59/140)^2)</f>
        <v>#N/A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 t="e">
        <f>1.2*Y49+1.6*Y51+Z54*Y50</f>
        <v>#VALUE!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244</v>
      </c>
      <c r="M57" s="265" t="e">
        <f>Q7*M5^3/12</f>
        <v>#N/A</v>
      </c>
      <c r="N57" s="185" t="s">
        <v>245</v>
      </c>
      <c r="O57" s="175"/>
      <c r="P57" s="211" t="s">
        <v>241</v>
      </c>
      <c r="Q57" s="381" t="e">
        <f>0.8*(0.8*M10*(M56-M32)+(M33*M32))*(70/M59)^2</f>
        <v>#N/A</v>
      </c>
      <c r="R57" s="175" t="s">
        <v>246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247</v>
      </c>
      <c r="M58" s="246" t="e">
        <f>SQRT(M57/M56)</f>
        <v>#N/A</v>
      </c>
      <c r="N58" s="185"/>
      <c r="O58" s="175"/>
      <c r="P58" s="384" t="s">
        <v>241</v>
      </c>
      <c r="Q58" s="385" t="e">
        <f>IF(M59&lt;99,Q56,Q57)</f>
        <v>#N/A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248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 t="e">
        <f>(Y57*Y40^2)/8</f>
        <v>#VALUE!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 t="e">
        <f>Y57*Y40/2</f>
        <v>#VALUE!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 t="e">
        <f>M5*Q3</f>
        <v>#N/A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 t="e">
        <f>MIN(Y59*12/(Y60*Q3),1)</f>
        <v>#VALUE!</v>
      </c>
      <c r="Z65" s="207"/>
      <c r="AA65" s="207"/>
      <c r="AB65" s="186" t="s">
        <v>174</v>
      </c>
      <c r="AC65" s="362" t="e">
        <f ca="1">0.6*0.6*S149*M5*(Q7-3/8)</f>
        <v>#N/A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 t="e">
        <f>(4-1.75*Y65)*Y64*SQRT(M10)</f>
        <v>#VALUE!</v>
      </c>
      <c r="Z66" s="396" t="s">
        <v>148</v>
      </c>
      <c r="AA66" s="207"/>
      <c r="AB66" s="207" t="s">
        <v>256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257</v>
      </c>
      <c r="M67" s="320" t="e">
        <f>N14</f>
        <v>#N/A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259</v>
      </c>
      <c r="M68" s="320" t="e">
        <f>M55/M56</f>
        <v>#N/A</v>
      </c>
      <c r="N68" s="185"/>
      <c r="O68" s="185"/>
      <c r="P68" s="207"/>
      <c r="Q68" s="175"/>
      <c r="R68" s="186" t="s">
        <v>188</v>
      </c>
      <c r="S68" s="397" t="e">
        <f ca="1">5*R28*(M4*12)^2/(48*57000*SQRT(M10)*M57)</f>
        <v>#N/A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261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262</v>
      </c>
      <c r="S69" s="397" t="e">
        <f>(1/2*M5)+0.5</f>
        <v>#N/A</v>
      </c>
      <c r="T69" s="207" t="s">
        <v>82</v>
      </c>
      <c r="U69" s="207"/>
      <c r="V69" s="207"/>
      <c r="W69" s="231"/>
      <c r="X69" s="211" t="s">
        <v>263</v>
      </c>
      <c r="Y69" s="186" t="e">
        <f>0.0007*M5*Q3</f>
        <v>#N/A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264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265</v>
      </c>
      <c r="S70" s="313" t="e">
        <f ca="1">((M55*S69)+(M55*S68))/12</f>
        <v>#N/A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0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265</v>
      </c>
      <c r="S71" s="402" t="e">
        <f>IF(M67&gt;30,S70,0)</f>
        <v>#N/A</v>
      </c>
      <c r="T71" s="403" t="s">
        <v>194</v>
      </c>
      <c r="U71" s="185"/>
      <c r="V71" s="185"/>
      <c r="W71" s="188"/>
      <c r="X71" s="211" t="s">
        <v>267</v>
      </c>
      <c r="Y71" s="175" t="e">
        <f>IF(0.8*Y66&gt;Y60,0,Y60/0.8-Y66)</f>
        <v>#VALUE!</v>
      </c>
      <c r="Z71" s="175" t="s">
        <v>148</v>
      </c>
      <c r="AA71" s="175" t="s">
        <v>256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274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275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276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277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278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 t="e">
        <f>0.8*(Y71+Y66)</f>
        <v>#VALUE!</v>
      </c>
      <c r="Z79" s="396" t="s">
        <v>148</v>
      </c>
      <c r="AA79" s="185" t="s">
        <v>256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279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280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0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 t="e">
        <f>(VLOOKUP(Q5,X26:Y32,2,FALSE))*Q4</f>
        <v>#N/A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 t="e">
        <f>Y83*Y84/(0.8*M10*Q3)</f>
        <v>#N/A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181</v>
      </c>
      <c r="M86" s="265" t="e">
        <f ca="1">R28+S71</f>
        <v>#N/A</v>
      </c>
      <c r="N86" s="186" t="s">
        <v>143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143</v>
      </c>
      <c r="Y86" s="417" t="e">
        <f>0.9*(Y83*Y84*(Y82-Y85/2))/12</f>
        <v>#N/A</v>
      </c>
      <c r="Z86" s="396" t="s">
        <v>235</v>
      </c>
      <c r="AA86" s="185" t="s">
        <v>256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183</v>
      </c>
      <c r="M87" s="265" t="e">
        <f ca="1">IF(R29=0,0.01,ABS(R29))</f>
        <v>#N/A</v>
      </c>
      <c r="N87" s="186" t="s">
        <v>143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150</v>
      </c>
      <c r="M88" s="265" t="e">
        <f ca="1">R30</f>
        <v>#N/A</v>
      </c>
      <c r="N88" s="186" t="s">
        <v>151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191</v>
      </c>
      <c r="M89" s="185" t="e">
        <f>M55</f>
        <v>#N/A</v>
      </c>
      <c r="N89" s="186" t="s">
        <v>192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 t="e">
        <f>M5*(Q3^2)/6</f>
        <v>#N/A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 t="e">
        <f>Y89*Y90/12</f>
        <v>#N/A</v>
      </c>
      <c r="Z91" s="185" t="s">
        <v>235</v>
      </c>
      <c r="AA91" s="185" t="s">
        <v>256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85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295</v>
      </c>
      <c r="M94" s="426" t="e">
        <f ca="1">S21+S22</f>
        <v>#N/A</v>
      </c>
      <c r="N94" s="427"/>
      <c r="O94" s="428" t="s">
        <v>295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167</v>
      </c>
      <c r="Y94" s="431" t="e">
        <f>0.64*M10/(U10*1000)*(0.0025/(1.5*U10/29000+0.0025))*M5*Q3</f>
        <v>#N/A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296</v>
      </c>
      <c r="M95" s="432">
        <f>M8</f>
        <v>-9.9999999999999995E-8</v>
      </c>
      <c r="N95" s="427"/>
      <c r="O95" s="428" t="s">
        <v>297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256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199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300</v>
      </c>
      <c r="M98" s="433" t="e">
        <f ca="1">M94*($M$95+$M$96)^2/(2*$M$95)</f>
        <v>#N/A</v>
      </c>
      <c r="N98" s="427"/>
      <c r="O98" s="428" t="s">
        <v>300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302</v>
      </c>
      <c r="M99" s="433" t="e">
        <f ca="1">M94*($M$95^2-$M$96^2)/(2*$M$95)</f>
        <v>#N/A</v>
      </c>
      <c r="N99" s="427"/>
      <c r="O99" s="428" t="s">
        <v>302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303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304</v>
      </c>
      <c r="M100" s="433" t="e">
        <f ca="1">M94*(M95+M96)</f>
        <v>#N/A</v>
      </c>
      <c r="N100" s="427"/>
      <c r="O100" s="428" t="s">
        <v>304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305</v>
      </c>
      <c r="Y101" s="265" t="e">
        <f>M5*(Q3^3)/12</f>
        <v>#N/A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308</v>
      </c>
      <c r="Y102" s="265" t="e">
        <f>M5*(Y99^3)/3+Y98*Y83*(Y82-Y99)^2</f>
        <v>#N/A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309</v>
      </c>
      <c r="Y103" s="362" t="e">
        <f>(Y91/AB51)^3*Y101+(1-(Y91/AB51)^3)*Y102</f>
        <v>#N/A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163</v>
      </c>
      <c r="Y105" s="175">
        <f>M7*12/600</f>
        <v>0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162</v>
      </c>
      <c r="Y106" s="320" t="e">
        <f>(5*AB49/12*(M7*12)^4)/(384*900*M10*Y103)</f>
        <v>#VALUE!</v>
      </c>
      <c r="Z106" s="185" t="s">
        <v>82</v>
      </c>
      <c r="AA106" s="185" t="s">
        <v>256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310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312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313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315</v>
      </c>
      <c r="M115" s="430" t="e">
        <f t="shared" ref="M115:M116" ca="1" si="19">S21</f>
        <v>#N/A</v>
      </c>
      <c r="N115" s="427"/>
      <c r="O115" s="428" t="s">
        <v>315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316</v>
      </c>
      <c r="M116" s="430" t="e">
        <f t="shared" ca="1" si="19"/>
        <v>#N/A</v>
      </c>
      <c r="N116" s="427"/>
      <c r="O116" s="428" t="s">
        <v>316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296</v>
      </c>
      <c r="M117" s="432">
        <f>M8</f>
        <v>-9.9999999999999995E-8</v>
      </c>
      <c r="N117" s="427"/>
      <c r="O117" s="428" t="s">
        <v>317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199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202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208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300</v>
      </c>
      <c r="M122" s="433" t="e">
        <f ca="1">(M115*($M$117+$M$118)^2/2+M116*$M$120*($M$117-$M$119+$M$120/2))/$M$117</f>
        <v>#N/A</v>
      </c>
      <c r="N122" s="427"/>
      <c r="O122" s="428" t="s">
        <v>300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302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302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304</v>
      </c>
      <c r="M124" s="433" t="e">
        <f ca="1">M115*(M117+M118)+M116*M120</f>
        <v>#N/A</v>
      </c>
      <c r="N124" s="427"/>
      <c r="O124" s="428" t="s">
        <v>304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318</v>
      </c>
      <c r="M136" s="438" t="e">
        <f ca="1">M123/M115</f>
        <v>#N/A</v>
      </c>
      <c r="N136" s="437" t="e">
        <f ca="1">N127*M136/2</f>
        <v>#N/A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319</v>
      </c>
      <c r="M137" s="438" t="e">
        <f>P123/P115</f>
        <v>#N/A</v>
      </c>
      <c r="N137" s="437" t="s">
        <v>144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328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329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330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331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332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44" priority="9">
      <formula>LEN(TRIM(B28))&gt;0</formula>
    </cfRule>
  </conditionalFormatting>
  <conditionalFormatting sqref="D23:D24 D31:D34">
    <cfRule type="cellIs" dxfId="43" priority="8" operator="lessThan">
      <formula>B23</formula>
    </cfRule>
  </conditionalFormatting>
  <conditionalFormatting sqref="F6:F9 I6:I11 C6:C12 F11:F14">
    <cfRule type="expression" dxfId="42" priority="10">
      <formula>_xludf.isformula(C6)=FALSE</formula>
    </cfRule>
  </conditionalFormatting>
  <conditionalFormatting sqref="G6:G8">
    <cfRule type="notContainsBlanks" dxfId="41" priority="7">
      <formula>LEN(TRIM(G6))&gt;0</formula>
    </cfRule>
  </conditionalFormatting>
  <conditionalFormatting sqref="I44">
    <cfRule type="cellIs" dxfId="40" priority="6" operator="notEqual">
      <formula>"OK"</formula>
    </cfRule>
  </conditionalFormatting>
  <conditionalFormatting sqref="AJ15:AJ20 AJ24:AJ27">
    <cfRule type="cellIs" dxfId="39" priority="1" operator="equal">
      <formula>"PASS"</formula>
    </cfRule>
  </conditionalFormatting>
  <conditionalFormatting sqref="AM11">
    <cfRule type="cellIs" dxfId="38" priority="2" operator="equal">
      <formula>"OK"</formula>
    </cfRule>
    <cfRule type="cellIs" dxfId="37" priority="3" operator="equal">
      <formula>"TRUE"</formula>
    </cfRule>
    <cfRule type="cellIs" dxfId="36" priority="4" operator="equal">
      <formula>"PASS"</formula>
    </cfRule>
  </conditionalFormatting>
  <dataValidations count="2">
    <dataValidation type="list" allowBlank="1" sqref="C11" xr:uid="{00000000-0002-0000-0700-000000000000}">
      <formula1>$X$13:$X$19</formula1>
    </dataValidation>
    <dataValidation type="list" allowBlank="1" sqref="C7" xr:uid="{00000000-0002-0000-07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AV149"/>
  <sheetViews>
    <sheetView workbookViewId="0">
      <selection activeCell="G1" sqref="G1"/>
    </sheetView>
  </sheetViews>
  <sheetFormatPr defaultColWidth="14.42578125" defaultRowHeight="15.75" customHeight="1"/>
  <cols>
    <col min="1" max="1" width="10" customWidth="1"/>
    <col min="2" max="3" width="11.28515625" customWidth="1"/>
    <col min="4" max="4" width="11.42578125" customWidth="1"/>
    <col min="5" max="7" width="11.5703125" customWidth="1"/>
    <col min="8" max="9" width="13.28515625" customWidth="1"/>
    <col min="10" max="10" width="5" customWidth="1"/>
    <col min="11" max="12" width="9.140625" hidden="1" customWidth="1"/>
    <col min="13" max="13" width="10" hidden="1" customWidth="1"/>
    <col min="14" max="48" width="9.140625" hidden="1" customWidth="1"/>
  </cols>
  <sheetData>
    <row r="1" spans="1:48" ht="47.25" customHeight="1">
      <c r="A1" s="171" t="s">
        <v>74</v>
      </c>
      <c r="B1" s="172"/>
      <c r="C1" s="15"/>
      <c r="D1" s="15"/>
      <c r="E1" s="16"/>
      <c r="F1" s="173"/>
      <c r="G1" s="16"/>
      <c r="H1" s="173"/>
      <c r="I1" s="16"/>
      <c r="J1" s="15"/>
      <c r="K1" s="174" t="s">
        <v>75</v>
      </c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6"/>
      <c r="X1" s="177" t="s">
        <v>76</v>
      </c>
      <c r="Y1" s="175"/>
      <c r="Z1" s="175"/>
      <c r="AA1" s="175"/>
      <c r="AB1" s="175"/>
      <c r="AC1" s="175"/>
      <c r="AD1" s="178"/>
      <c r="AE1" s="179" t="s">
        <v>77</v>
      </c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76"/>
      <c r="AQ1" s="177" t="s">
        <v>78</v>
      </c>
      <c r="AR1" s="175"/>
      <c r="AS1" s="175"/>
      <c r="AT1" s="175"/>
      <c r="AU1" s="175"/>
      <c r="AV1" s="175"/>
    </row>
    <row r="2" spans="1:48" ht="15.75" customHeight="1">
      <c r="A2" s="572" t="str">
        <f>MODULEINPUT!$A$3&amp; ": LINTEL DESIGN FOR "&amp;MODULEINPUT!A27</f>
        <v xml:space="preserve">CREECH DRP PH2 - LEVEL 2 OPENING: LINTEL DESIGN FOR </v>
      </c>
      <c r="B2" s="559"/>
      <c r="C2" s="559"/>
      <c r="D2" s="559"/>
      <c r="E2" s="559"/>
      <c r="F2" s="559"/>
      <c r="G2" s="522"/>
      <c r="H2" s="17"/>
      <c r="I2" s="181"/>
      <c r="J2" s="18"/>
      <c r="K2" s="182" t="s">
        <v>79</v>
      </c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6"/>
      <c r="X2" s="175"/>
      <c r="Y2" s="175"/>
      <c r="Z2" s="175"/>
      <c r="AA2" s="175"/>
      <c r="AB2" s="175"/>
      <c r="AC2" s="175"/>
      <c r="AD2" s="178"/>
      <c r="AE2" s="183" t="s">
        <v>80</v>
      </c>
      <c r="AF2" s="184"/>
      <c r="AG2" s="184"/>
      <c r="AH2" s="184"/>
      <c r="AI2" s="184"/>
      <c r="AJ2" s="184"/>
      <c r="AK2" s="184"/>
      <c r="AL2" s="184"/>
      <c r="AM2" s="184"/>
      <c r="AN2" s="184"/>
      <c r="AO2" s="180"/>
      <c r="AP2" s="176"/>
      <c r="AQ2" s="175"/>
      <c r="AR2" s="175"/>
      <c r="AS2" s="175"/>
      <c r="AT2" s="175"/>
      <c r="AU2" s="175"/>
      <c r="AV2" s="175"/>
    </row>
    <row r="3" spans="1:48" ht="15.75" customHeight="1">
      <c r="A3" s="17"/>
      <c r="B3" s="17"/>
      <c r="C3" s="15"/>
      <c r="D3" s="18"/>
      <c r="E3" s="16"/>
      <c r="F3" s="16"/>
      <c r="G3" s="16"/>
      <c r="H3" s="17"/>
      <c r="I3" s="16"/>
      <c r="J3" s="18"/>
      <c r="K3" s="185"/>
      <c r="L3" s="185"/>
      <c r="M3" s="185"/>
      <c r="N3" s="185"/>
      <c r="O3" s="185"/>
      <c r="P3" s="186" t="s">
        <v>81</v>
      </c>
      <c r="Q3" s="187">
        <f>LINTEL7!$F6</f>
        <v>0</v>
      </c>
      <c r="R3" s="185" t="s">
        <v>82</v>
      </c>
      <c r="S3" s="185"/>
      <c r="T3" s="185"/>
      <c r="U3" s="185"/>
      <c r="V3" s="185"/>
      <c r="W3" s="188"/>
      <c r="X3" s="175"/>
      <c r="Y3" s="175"/>
      <c r="Z3" s="175"/>
      <c r="AA3" s="175"/>
      <c r="AB3" s="175"/>
      <c r="AC3" s="175"/>
      <c r="AD3" s="189"/>
      <c r="AE3" s="190"/>
      <c r="AF3" s="184" t="s">
        <v>83</v>
      </c>
      <c r="AG3" s="184"/>
      <c r="AH3" s="184"/>
      <c r="AI3" s="184"/>
      <c r="AJ3" s="184"/>
      <c r="AK3" s="184"/>
      <c r="AL3" s="184"/>
      <c r="AM3" s="184"/>
      <c r="AN3" s="184"/>
      <c r="AO3" s="191"/>
      <c r="AP3" s="188"/>
      <c r="AQ3" s="185" t="s">
        <v>84</v>
      </c>
      <c r="AR3" s="185"/>
      <c r="AS3" s="185"/>
      <c r="AT3" s="185"/>
      <c r="AU3" s="185"/>
      <c r="AV3" s="185"/>
    </row>
    <row r="4" spans="1:48" ht="15.75" customHeight="1">
      <c r="A4" s="566" t="s">
        <v>85</v>
      </c>
      <c r="B4" s="567"/>
      <c r="C4" s="567"/>
      <c r="D4" s="567"/>
      <c r="E4" s="567"/>
      <c r="F4" s="567"/>
      <c r="G4" s="567"/>
      <c r="H4" s="567"/>
      <c r="I4" s="568"/>
      <c r="J4" s="18"/>
      <c r="K4" s="185"/>
      <c r="L4" s="186" t="s">
        <v>86</v>
      </c>
      <c r="M4" s="193">
        <f>LINTEL7!$C6</f>
        <v>0</v>
      </c>
      <c r="N4" s="185" t="s">
        <v>87</v>
      </c>
      <c r="O4" s="185"/>
      <c r="P4" s="186" t="s">
        <v>88</v>
      </c>
      <c r="Q4" s="194">
        <f>LINTEL7!$F7</f>
        <v>0</v>
      </c>
      <c r="R4" s="185"/>
      <c r="S4" s="185"/>
      <c r="T4" s="186" t="s">
        <v>89</v>
      </c>
      <c r="U4" s="195" t="str">
        <f>LINTEL7!$I6</f>
        <v/>
      </c>
      <c r="V4" s="185" t="s">
        <v>90</v>
      </c>
      <c r="W4" s="188"/>
      <c r="X4" s="196">
        <f>LINTEL7!$C7</f>
        <v>0</v>
      </c>
      <c r="Y4" s="197" t="s">
        <v>91</v>
      </c>
      <c r="Z4" s="198"/>
      <c r="AA4" s="199"/>
      <c r="AB4" s="185"/>
      <c r="AC4" s="185"/>
      <c r="AD4" s="189"/>
      <c r="AE4" s="190"/>
      <c r="AF4" s="184" t="s">
        <v>92</v>
      </c>
      <c r="AG4" s="184"/>
      <c r="AH4" s="184"/>
      <c r="AI4" s="184"/>
      <c r="AJ4" s="184"/>
      <c r="AK4" s="184"/>
      <c r="AL4" s="184"/>
      <c r="AM4" s="184"/>
      <c r="AN4" s="184"/>
      <c r="AO4" s="191"/>
      <c r="AP4" s="188"/>
      <c r="AQ4" s="200" t="s">
        <v>93</v>
      </c>
      <c r="AR4" s="200" t="s">
        <v>94</v>
      </c>
      <c r="AS4" s="200" t="s">
        <v>14</v>
      </c>
      <c r="AT4" s="185"/>
      <c r="AU4" s="185"/>
      <c r="AV4" s="185"/>
    </row>
    <row r="5" spans="1:48" ht="15.75" customHeight="1">
      <c r="A5" s="93"/>
      <c r="B5" s="93"/>
      <c r="C5" s="44"/>
      <c r="D5" s="92"/>
      <c r="E5" s="45"/>
      <c r="F5" s="45"/>
      <c r="G5" s="45"/>
      <c r="H5" s="93"/>
      <c r="I5" s="45"/>
      <c r="J5" s="18"/>
      <c r="K5" s="201"/>
      <c r="L5" s="186" t="s">
        <v>95</v>
      </c>
      <c r="M5" s="185" t="e">
        <f>Z9</f>
        <v>#N/A</v>
      </c>
      <c r="N5" s="185" t="s">
        <v>82</v>
      </c>
      <c r="O5" s="185"/>
      <c r="P5" s="186" t="s">
        <v>96</v>
      </c>
      <c r="Q5" s="202">
        <f>LINTEL7!$F8</f>
        <v>0</v>
      </c>
      <c r="R5" s="185"/>
      <c r="S5" s="185"/>
      <c r="T5" s="203" t="s">
        <v>97</v>
      </c>
      <c r="U5" s="195" t="str">
        <f>LINTEL7!$I7</f>
        <v/>
      </c>
      <c r="V5" s="185" t="s">
        <v>90</v>
      </c>
      <c r="W5" s="204"/>
      <c r="X5" s="205" t="s">
        <v>98</v>
      </c>
      <c r="Y5" s="205" t="s">
        <v>98</v>
      </c>
      <c r="Z5" s="205" t="s">
        <v>99</v>
      </c>
      <c r="AA5" s="205" t="s">
        <v>100</v>
      </c>
      <c r="AB5" s="185"/>
      <c r="AC5" s="185"/>
      <c r="AD5" s="189"/>
      <c r="AE5" s="190"/>
      <c r="AF5" s="184" t="s">
        <v>101</v>
      </c>
      <c r="AG5" s="184"/>
      <c r="AH5" s="184"/>
      <c r="AI5" s="184"/>
      <c r="AJ5" s="184"/>
      <c r="AK5" s="184"/>
      <c r="AL5" s="184"/>
      <c r="AM5" s="184"/>
      <c r="AN5" s="184"/>
      <c r="AO5" s="191"/>
      <c r="AP5" s="188"/>
      <c r="AQ5" s="200">
        <v>1</v>
      </c>
      <c r="AR5" s="206">
        <v>1</v>
      </c>
      <c r="AS5" s="206">
        <v>1</v>
      </c>
      <c r="AT5" s="207"/>
      <c r="AU5" s="207"/>
      <c r="AV5" s="185"/>
    </row>
    <row r="6" spans="1:48" ht="15.75" customHeight="1">
      <c r="A6" s="17"/>
      <c r="B6" s="17" t="s">
        <v>86</v>
      </c>
      <c r="C6" s="208">
        <f>MODULEINPUT!C27</f>
        <v>0</v>
      </c>
      <c r="D6" s="19"/>
      <c r="E6" s="17" t="s">
        <v>81</v>
      </c>
      <c r="F6" s="209">
        <f>MODULEINPUT!F41</f>
        <v>0</v>
      </c>
      <c r="G6" s="573" t="e">
        <f>IF(AJ19="FAIL","As &gt; As,max " &amp; AK19,"")</f>
        <v>#N/A</v>
      </c>
      <c r="H6" s="17" t="s">
        <v>89</v>
      </c>
      <c r="I6" s="210" t="str">
        <f>MODULEINPUT!H27</f>
        <v/>
      </c>
      <c r="J6" s="18"/>
      <c r="K6" s="185"/>
      <c r="L6" s="186" t="s">
        <v>102</v>
      </c>
      <c r="M6" s="193">
        <f>LINTEL7!$C8</f>
        <v>0</v>
      </c>
      <c r="N6" s="185" t="s">
        <v>87</v>
      </c>
      <c r="O6" s="185"/>
      <c r="P6" s="211" t="s">
        <v>103</v>
      </c>
      <c r="Q6" s="212">
        <f>F9</f>
        <v>0</v>
      </c>
      <c r="R6" s="175"/>
      <c r="S6" s="185"/>
      <c r="T6" s="203" t="s">
        <v>104</v>
      </c>
      <c r="U6" s="195" t="str">
        <f>LINTEL7!$I8</f>
        <v/>
      </c>
      <c r="V6" s="185" t="s">
        <v>90</v>
      </c>
      <c r="W6" s="204"/>
      <c r="X6" s="200" t="s">
        <v>36</v>
      </c>
      <c r="Y6" s="200" t="s">
        <v>36</v>
      </c>
      <c r="Z6" s="200">
        <v>7.625</v>
      </c>
      <c r="AA6" s="200">
        <v>84</v>
      </c>
      <c r="AB6" s="185"/>
      <c r="AC6" s="185"/>
      <c r="AD6" s="189"/>
      <c r="AE6" s="190"/>
      <c r="AF6" s="184"/>
      <c r="AG6" s="184"/>
      <c r="AH6" s="184"/>
      <c r="AI6" s="184"/>
      <c r="AJ6" s="184"/>
      <c r="AK6" s="184"/>
      <c r="AL6" s="184"/>
      <c r="AM6" s="184"/>
      <c r="AN6" s="184"/>
      <c r="AO6" s="191"/>
      <c r="AP6" s="188"/>
      <c r="AQ6" s="200">
        <v>2</v>
      </c>
      <c r="AR6" s="213" t="e">
        <f>AR5+Q7/12+(M9-4)/12</f>
        <v>#N/A</v>
      </c>
      <c r="AS6" s="213">
        <f>AS5</f>
        <v>1</v>
      </c>
      <c r="AT6" s="207"/>
      <c r="AU6" s="207"/>
      <c r="AV6" s="185"/>
    </row>
    <row r="7" spans="1:48" ht="15.75" customHeight="1">
      <c r="A7" s="17"/>
      <c r="B7" s="17" t="s">
        <v>105</v>
      </c>
      <c r="C7" s="214">
        <f>MODULEINPUT!D27</f>
        <v>0</v>
      </c>
      <c r="D7" s="19"/>
      <c r="E7" s="17" t="s">
        <v>88</v>
      </c>
      <c r="F7" s="215">
        <f>MODULEINPUT!G41*F9</f>
        <v>0</v>
      </c>
      <c r="G7" s="574"/>
      <c r="H7" s="17" t="s">
        <v>97</v>
      </c>
      <c r="I7" s="216" t="str">
        <f>MODULEINPUT!I27</f>
        <v/>
      </c>
      <c r="J7" s="18"/>
      <c r="K7" s="185"/>
      <c r="L7" s="186" t="s">
        <v>106</v>
      </c>
      <c r="M7" s="193">
        <f>LINTEL7!$C9</f>
        <v>0</v>
      </c>
      <c r="N7" s="185" t="s">
        <v>87</v>
      </c>
      <c r="O7" s="185"/>
      <c r="P7" s="186" t="s">
        <v>107</v>
      </c>
      <c r="Q7" s="217">
        <f>LINTEL7!$F11</f>
        <v>0</v>
      </c>
      <c r="R7" s="185" t="s">
        <v>82</v>
      </c>
      <c r="S7" s="185"/>
      <c r="T7" s="203" t="s">
        <v>108</v>
      </c>
      <c r="U7" s="218">
        <f>LINTEL7!$I9</f>
        <v>25</v>
      </c>
      <c r="V7" s="185" t="s">
        <v>109</v>
      </c>
      <c r="W7" s="204"/>
      <c r="X7" s="200" t="s">
        <v>37</v>
      </c>
      <c r="Y7" s="200" t="s">
        <v>37</v>
      </c>
      <c r="Z7" s="200">
        <v>9.625</v>
      </c>
      <c r="AA7" s="200">
        <v>104</v>
      </c>
      <c r="AB7" s="185"/>
      <c r="AC7" s="185"/>
      <c r="AD7" s="189"/>
      <c r="AE7" s="190"/>
      <c r="AF7" s="184"/>
      <c r="AG7" s="184"/>
      <c r="AH7" s="184"/>
      <c r="AI7" s="184"/>
      <c r="AJ7" s="184"/>
      <c r="AK7" s="184"/>
      <c r="AL7" s="184"/>
      <c r="AM7" s="184"/>
      <c r="AN7" s="184"/>
      <c r="AO7" s="191"/>
      <c r="AP7" s="188"/>
      <c r="AQ7" s="200">
        <v>3</v>
      </c>
      <c r="AR7" s="213" t="e">
        <f>AR6</f>
        <v>#N/A</v>
      </c>
      <c r="AS7" s="213">
        <f>AS6+M6</f>
        <v>1</v>
      </c>
      <c r="AT7" s="207"/>
      <c r="AU7" s="207"/>
      <c r="AV7" s="185"/>
    </row>
    <row r="8" spans="1:48" ht="15.75" customHeight="1">
      <c r="A8" s="17"/>
      <c r="B8" s="17" t="s">
        <v>102</v>
      </c>
      <c r="C8" s="219">
        <f>MODULEINPUT!C41</f>
        <v>0</v>
      </c>
      <c r="D8" s="19"/>
      <c r="E8" s="17" t="s">
        <v>96</v>
      </c>
      <c r="F8" s="220">
        <f>MODULEINPUT!E41</f>
        <v>0</v>
      </c>
      <c r="G8" s="575"/>
      <c r="H8" s="17" t="s">
        <v>104</v>
      </c>
      <c r="I8" s="216" t="str">
        <f>MODULEINPUT!J27</f>
        <v/>
      </c>
      <c r="J8" s="18"/>
      <c r="K8" s="185"/>
      <c r="L8" s="186" t="s">
        <v>110</v>
      </c>
      <c r="M8" s="193">
        <f>LINTEL7!$C10-0.0000001</f>
        <v>-9.9999999999999995E-8</v>
      </c>
      <c r="N8" s="185" t="s">
        <v>87</v>
      </c>
      <c r="O8" s="185"/>
      <c r="P8" s="186" t="s">
        <v>111</v>
      </c>
      <c r="Q8" s="217" t="e">
        <f>LINTEL7!$F12</f>
        <v>#N/A</v>
      </c>
      <c r="R8" s="185" t="s">
        <v>82</v>
      </c>
      <c r="S8" s="185"/>
      <c r="T8" s="203" t="s">
        <v>112</v>
      </c>
      <c r="U8" s="218" t="e">
        <f ca="1">LINTEL7!$I10</f>
        <v>#N/A</v>
      </c>
      <c r="V8" s="185" t="s">
        <v>109</v>
      </c>
      <c r="W8" s="188"/>
      <c r="X8" s="200" t="s">
        <v>113</v>
      </c>
      <c r="Y8" s="200" t="s">
        <v>113</v>
      </c>
      <c r="Z8" s="200">
        <v>11.625</v>
      </c>
      <c r="AA8" s="200">
        <v>133</v>
      </c>
      <c r="AB8" s="185"/>
      <c r="AC8" s="185"/>
      <c r="AD8" s="189"/>
      <c r="AE8" s="190"/>
      <c r="AF8" s="184"/>
      <c r="AG8" s="184"/>
      <c r="AH8" s="184"/>
      <c r="AI8" s="184"/>
      <c r="AJ8" s="184"/>
      <c r="AK8" s="184"/>
      <c r="AL8" s="184"/>
      <c r="AM8" s="184"/>
      <c r="AN8" s="184"/>
      <c r="AO8" s="191"/>
      <c r="AP8" s="188"/>
      <c r="AQ8" s="200">
        <v>4</v>
      </c>
      <c r="AR8" s="213" t="e">
        <f>AR7+M7</f>
        <v>#N/A</v>
      </c>
      <c r="AS8" s="213">
        <f>AS7</f>
        <v>1</v>
      </c>
      <c r="AT8" s="207"/>
      <c r="AU8" s="207"/>
      <c r="AV8" s="185"/>
    </row>
    <row r="9" spans="1:48" ht="15.75" customHeight="1">
      <c r="A9" s="17"/>
      <c r="B9" s="17" t="s">
        <v>106</v>
      </c>
      <c r="C9" s="219">
        <f>MODULEINPUT!D41</f>
        <v>0</v>
      </c>
      <c r="D9" s="19"/>
      <c r="E9" s="17" t="s">
        <v>103</v>
      </c>
      <c r="F9" s="221">
        <f>MODULEINPUT!H41</f>
        <v>0</v>
      </c>
      <c r="G9" s="19"/>
      <c r="H9" s="17" t="s">
        <v>108</v>
      </c>
      <c r="I9" s="222">
        <f>MODULEINPUT!E14</f>
        <v>25</v>
      </c>
      <c r="J9" s="18"/>
      <c r="K9" s="223"/>
      <c r="L9" s="186" t="s">
        <v>114</v>
      </c>
      <c r="M9" s="185" t="e">
        <f>Z20</f>
        <v>#N/A</v>
      </c>
      <c r="N9" s="185" t="s">
        <v>115</v>
      </c>
      <c r="O9" s="185"/>
      <c r="P9" s="186" t="s">
        <v>116</v>
      </c>
      <c r="Q9" s="194">
        <f>LINTEL7!$F13</f>
        <v>0</v>
      </c>
      <c r="R9" s="185"/>
      <c r="S9" s="185"/>
      <c r="T9" s="203" t="s">
        <v>13</v>
      </c>
      <c r="U9" s="185" t="b">
        <f>IF(LINTEL7!$I11="y",TRUE,FALSE)</f>
        <v>1</v>
      </c>
      <c r="V9" s="185"/>
      <c r="W9" s="188"/>
      <c r="X9" s="224" t="s">
        <v>117</v>
      </c>
      <c r="Y9" s="225" t="e">
        <f>VLOOKUP(X4,X5:Z8,2,FALSE)</f>
        <v>#N/A</v>
      </c>
      <c r="Z9" s="225" t="e">
        <f>VLOOKUP(X4,X5:Z8,3,FALSE)</f>
        <v>#N/A</v>
      </c>
      <c r="AA9" s="225" t="e">
        <f>VLOOKUP(X4,X5:AA8,4,FALSE)</f>
        <v>#N/A</v>
      </c>
      <c r="AB9" s="185"/>
      <c r="AC9" s="185"/>
      <c r="AD9" s="189"/>
      <c r="AE9" s="190"/>
      <c r="AF9" s="184"/>
      <c r="AG9" s="184"/>
      <c r="AH9" s="184"/>
      <c r="AI9" s="184"/>
      <c r="AJ9" s="184"/>
      <c r="AK9" s="184"/>
      <c r="AL9" s="184"/>
      <c r="AM9" s="184"/>
      <c r="AN9" s="184"/>
      <c r="AO9" s="191"/>
      <c r="AP9" s="188"/>
      <c r="AQ9" s="200">
        <v>5</v>
      </c>
      <c r="AR9" s="213" t="e">
        <f>AR8</f>
        <v>#N/A</v>
      </c>
      <c r="AS9" s="213">
        <f>AS6</f>
        <v>1</v>
      </c>
      <c r="AT9" s="207"/>
      <c r="AU9" s="207"/>
      <c r="AV9" s="185"/>
    </row>
    <row r="10" spans="1:48" ht="15.75" customHeight="1">
      <c r="A10" s="17"/>
      <c r="B10" s="17" t="s">
        <v>110</v>
      </c>
      <c r="C10" s="219">
        <f>MODULEINPUT!E27</f>
        <v>0</v>
      </c>
      <c r="D10" s="19"/>
      <c r="E10" s="19"/>
      <c r="F10" s="40"/>
      <c r="G10" s="19"/>
      <c r="H10" s="17" t="s">
        <v>112</v>
      </c>
      <c r="I10" s="222" t="e">
        <f ca="1">M22</f>
        <v>#N/A</v>
      </c>
      <c r="J10" s="18"/>
      <c r="K10" s="185"/>
      <c r="L10" s="186" t="s">
        <v>118</v>
      </c>
      <c r="M10" s="226">
        <f>LINTEL7!$C12</f>
        <v>2000</v>
      </c>
      <c r="N10" s="185" t="s">
        <v>119</v>
      </c>
      <c r="O10" s="185"/>
      <c r="P10" s="186" t="s">
        <v>96</v>
      </c>
      <c r="Q10" s="202">
        <f>LINTEL7!$F14</f>
        <v>0</v>
      </c>
      <c r="R10" s="185"/>
      <c r="S10" s="185"/>
      <c r="T10" s="186" t="s">
        <v>120</v>
      </c>
      <c r="U10" s="227">
        <f>MODULEINPUT!G9</f>
        <v>60</v>
      </c>
      <c r="V10" s="185" t="s">
        <v>121</v>
      </c>
      <c r="W10" s="188"/>
      <c r="X10" s="185"/>
      <c r="Y10" s="185"/>
      <c r="Z10" s="185"/>
      <c r="AA10" s="185"/>
      <c r="AB10" s="185"/>
      <c r="AC10" s="185"/>
      <c r="AD10" s="189"/>
      <c r="AE10" s="190"/>
      <c r="AF10" s="184"/>
      <c r="AG10" s="184"/>
      <c r="AH10" s="184"/>
      <c r="AI10" s="184"/>
      <c r="AJ10" s="184"/>
      <c r="AK10" s="184"/>
      <c r="AL10" s="184"/>
      <c r="AM10" s="184"/>
      <c r="AN10" s="184"/>
      <c r="AO10" s="191"/>
      <c r="AP10" s="188"/>
      <c r="AQ10" s="200">
        <v>6</v>
      </c>
      <c r="AR10" s="213" t="e">
        <f>AR9+(AR6-AR5)</f>
        <v>#N/A</v>
      </c>
      <c r="AS10" s="213">
        <f>AS9</f>
        <v>1</v>
      </c>
      <c r="AT10" s="207"/>
      <c r="AU10" s="207"/>
      <c r="AV10" s="185"/>
    </row>
    <row r="11" spans="1:48" ht="15.75" customHeight="1">
      <c r="A11" s="17"/>
      <c r="B11" s="17" t="s">
        <v>122</v>
      </c>
      <c r="C11" s="228">
        <f>MODULEINPUT!B41</f>
        <v>0</v>
      </c>
      <c r="D11" s="19"/>
      <c r="E11" s="17" t="s">
        <v>107</v>
      </c>
      <c r="F11" s="209">
        <f>MODULEINPUT!J41</f>
        <v>0</v>
      </c>
      <c r="G11" s="19"/>
      <c r="H11" s="17" t="s">
        <v>13</v>
      </c>
      <c r="I11" s="229" t="str">
        <f>MODULEINPUT!G10</f>
        <v>Y</v>
      </c>
      <c r="J11" s="18"/>
      <c r="K11" s="201"/>
      <c r="L11" s="185"/>
      <c r="M11" s="185"/>
      <c r="N11" s="185"/>
      <c r="O11" s="185"/>
      <c r="P11" s="186" t="s">
        <v>123</v>
      </c>
      <c r="Q11" s="230">
        <f>MODULEINPUT!K41</f>
        <v>0</v>
      </c>
      <c r="R11" s="185"/>
      <c r="S11" s="185"/>
      <c r="T11" s="201"/>
      <c r="U11" s="207"/>
      <c r="V11" s="207"/>
      <c r="W11" s="231"/>
      <c r="X11" s="185"/>
      <c r="Y11" s="185"/>
      <c r="Z11" s="185"/>
      <c r="AA11" s="185"/>
      <c r="AB11" s="185"/>
      <c r="AC11" s="185"/>
      <c r="AD11" s="189"/>
      <c r="AE11" s="190"/>
      <c r="AF11" s="232" t="s">
        <v>124</v>
      </c>
      <c r="AG11" s="233"/>
      <c r="AH11" s="233"/>
      <c r="AI11" s="233"/>
      <c r="AJ11" s="233"/>
      <c r="AK11" s="234"/>
      <c r="AL11" s="235" t="s">
        <v>125</v>
      </c>
      <c r="AM11" s="236" t="e">
        <f ca="1">IF(AND(AJ27="pass",AJ26="pass",AJ25="pass",AJ24="pass",AJ19="pass",AJ18="pass",AJ17="pass",AJ16="pass",AJ15="pass",AJ20="pass")=TRUE,"OK","FAILS")</f>
        <v>#N/A</v>
      </c>
      <c r="AN11" s="184"/>
      <c r="AO11" s="191"/>
      <c r="AP11" s="188"/>
      <c r="AQ11" s="200">
        <v>7</v>
      </c>
      <c r="AR11" s="213" t="e">
        <f>AR10</f>
        <v>#N/A</v>
      </c>
      <c r="AS11" s="213">
        <f>AS5+M4</f>
        <v>1</v>
      </c>
      <c r="AT11" s="207"/>
      <c r="AU11" s="207"/>
      <c r="AV11" s="185"/>
    </row>
    <row r="12" spans="1:48" ht="15.75" customHeight="1">
      <c r="A12" s="17"/>
      <c r="B12" s="17" t="s">
        <v>118</v>
      </c>
      <c r="C12" s="237">
        <f>MODULEINPUT!G8</f>
        <v>2000</v>
      </c>
      <c r="D12" s="19"/>
      <c r="E12" s="17" t="s">
        <v>126</v>
      </c>
      <c r="F12" s="214" t="e">
        <f>IF(MODULEINPUT!K41=1,M5/2,M5-2-F14/16)</f>
        <v>#N/A</v>
      </c>
      <c r="G12" s="19"/>
      <c r="H12" s="19"/>
      <c r="I12" s="40"/>
      <c r="J12" s="18"/>
      <c r="K12" s="238" t="s">
        <v>127</v>
      </c>
      <c r="L12" s="185"/>
      <c r="M12" s="185"/>
      <c r="N12" s="185"/>
      <c r="O12" s="185"/>
      <c r="P12" s="185"/>
      <c r="Q12" s="238" t="s">
        <v>128</v>
      </c>
      <c r="R12" s="185"/>
      <c r="S12" s="185"/>
      <c r="T12" s="185"/>
      <c r="U12" s="207"/>
      <c r="V12" s="207"/>
      <c r="W12" s="231"/>
      <c r="X12" s="239">
        <f>LINTEL7!$C11</f>
        <v>0</v>
      </c>
      <c r="Y12" s="240" t="s">
        <v>129</v>
      </c>
      <c r="Z12" s="241"/>
      <c r="AA12" s="198"/>
      <c r="AB12" s="198"/>
      <c r="AC12" s="199"/>
      <c r="AD12" s="189"/>
      <c r="AE12" s="190"/>
      <c r="AF12" s="242"/>
      <c r="AG12" s="243"/>
      <c r="AH12" s="243"/>
      <c r="AI12" s="243"/>
      <c r="AJ12" s="243"/>
      <c r="AK12" s="243"/>
      <c r="AL12" s="243"/>
      <c r="AM12" s="244"/>
      <c r="AN12" s="184"/>
      <c r="AO12" s="191"/>
      <c r="AP12" s="188"/>
      <c r="AQ12" s="200">
        <v>8</v>
      </c>
      <c r="AR12" s="213">
        <f>AR5</f>
        <v>1</v>
      </c>
      <c r="AS12" s="213">
        <f>AS11</f>
        <v>1</v>
      </c>
      <c r="AT12" s="207"/>
      <c r="AU12" s="207"/>
      <c r="AV12" s="185"/>
    </row>
    <row r="13" spans="1:48" ht="15.75" customHeight="1">
      <c r="A13" s="17"/>
      <c r="B13" s="19"/>
      <c r="C13" s="40"/>
      <c r="D13" s="19"/>
      <c r="E13" s="17" t="s">
        <v>116</v>
      </c>
      <c r="F13" s="215">
        <v>0</v>
      </c>
      <c r="G13" s="19"/>
      <c r="H13" s="19"/>
      <c r="I13" s="19"/>
      <c r="J13" s="18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8"/>
      <c r="X13" s="205" t="s">
        <v>98</v>
      </c>
      <c r="Y13" s="205" t="s">
        <v>98</v>
      </c>
      <c r="Z13" s="245" t="s">
        <v>130</v>
      </c>
      <c r="AA13" s="200" t="s">
        <v>36</v>
      </c>
      <c r="AB13" s="200" t="s">
        <v>37</v>
      </c>
      <c r="AC13" s="200" t="s">
        <v>113</v>
      </c>
      <c r="AD13" s="189"/>
      <c r="AE13" s="190"/>
      <c r="AF13" s="560" t="s">
        <v>41</v>
      </c>
      <c r="AG13" s="561"/>
      <c r="AH13" s="561"/>
      <c r="AI13" s="561"/>
      <c r="AJ13" s="561"/>
      <c r="AK13" s="561"/>
      <c r="AL13" s="561"/>
      <c r="AM13" s="562"/>
      <c r="AN13" s="184"/>
      <c r="AO13" s="191"/>
      <c r="AP13" s="188"/>
      <c r="AQ13" s="200">
        <v>9</v>
      </c>
      <c r="AR13" s="213">
        <f t="shared" ref="AR13:AS13" si="0">AR5</f>
        <v>1</v>
      </c>
      <c r="AS13" s="213">
        <f t="shared" si="0"/>
        <v>1</v>
      </c>
      <c r="AT13" s="207"/>
      <c r="AU13" s="207"/>
      <c r="AV13" s="185"/>
    </row>
    <row r="14" spans="1:48" ht="15.75" customHeight="1">
      <c r="A14" s="17"/>
      <c r="B14" s="19"/>
      <c r="C14" s="19"/>
      <c r="D14" s="19"/>
      <c r="E14" s="17" t="s">
        <v>96</v>
      </c>
      <c r="F14" s="220">
        <f>MODULEINPUT!I41</f>
        <v>0</v>
      </c>
      <c r="G14" s="19"/>
      <c r="H14" s="19"/>
      <c r="I14" s="19"/>
      <c r="J14" s="18"/>
      <c r="K14" s="185"/>
      <c r="L14" s="175"/>
      <c r="M14" s="186" t="s">
        <v>131</v>
      </c>
      <c r="N14" s="246" t="e">
        <f>M4*12/M5</f>
        <v>#N/A</v>
      </c>
      <c r="O14" s="185" t="s">
        <v>132</v>
      </c>
      <c r="P14" s="185"/>
      <c r="Q14" s="185"/>
      <c r="R14" s="211" t="s">
        <v>133</v>
      </c>
      <c r="S14" s="247" t="e">
        <f>(M9/2-4+Q7)/12</f>
        <v>#N/A</v>
      </c>
      <c r="T14" s="175" t="s">
        <v>87</v>
      </c>
      <c r="U14" s="185"/>
      <c r="V14" s="185"/>
      <c r="W14" s="188"/>
      <c r="X14" s="200" t="s">
        <v>134</v>
      </c>
      <c r="Y14" s="200" t="s">
        <v>134</v>
      </c>
      <c r="Z14" s="248">
        <v>48</v>
      </c>
      <c r="AA14" s="200">
        <v>55</v>
      </c>
      <c r="AB14" s="200">
        <v>70</v>
      </c>
      <c r="AC14" s="200">
        <v>83</v>
      </c>
      <c r="AD14" s="189"/>
      <c r="AE14" s="190"/>
      <c r="AF14" s="563" t="s">
        <v>135</v>
      </c>
      <c r="AG14" s="540"/>
      <c r="AH14" s="564" t="s">
        <v>136</v>
      </c>
      <c r="AI14" s="540"/>
      <c r="AJ14" s="249" t="s">
        <v>137</v>
      </c>
      <c r="AK14" s="564" t="s">
        <v>138</v>
      </c>
      <c r="AL14" s="565"/>
      <c r="AM14" s="513"/>
      <c r="AN14" s="184"/>
      <c r="AO14" s="191"/>
      <c r="AP14" s="188"/>
      <c r="AQ14" s="185"/>
      <c r="AR14" s="185"/>
      <c r="AS14" s="207"/>
      <c r="AT14" s="207"/>
      <c r="AU14" s="207"/>
      <c r="AV14" s="185"/>
    </row>
    <row r="15" spans="1:48" ht="15.75" customHeight="1">
      <c r="A15" s="192" t="s">
        <v>139</v>
      </c>
      <c r="B15" s="250"/>
      <c r="C15" s="250"/>
      <c r="D15" s="250"/>
      <c r="E15" s="250"/>
      <c r="F15" s="251"/>
      <c r="G15" s="250"/>
      <c r="H15" s="250"/>
      <c r="I15" s="250"/>
      <c r="J15" s="18"/>
      <c r="K15" s="185"/>
      <c r="L15" s="185"/>
      <c r="M15" s="186" t="s">
        <v>140</v>
      </c>
      <c r="N15" s="185" t="e">
        <f>AC21</f>
        <v>#N/A</v>
      </c>
      <c r="O15" s="185" t="s">
        <v>109</v>
      </c>
      <c r="P15" s="185"/>
      <c r="Q15" s="185"/>
      <c r="R15" s="211" t="s">
        <v>141</v>
      </c>
      <c r="S15" s="247">
        <f>M7/2</f>
        <v>0</v>
      </c>
      <c r="T15" s="175" t="s">
        <v>87</v>
      </c>
      <c r="U15" s="207"/>
      <c r="V15" s="185"/>
      <c r="W15" s="188"/>
      <c r="X15" s="200" t="s">
        <v>54</v>
      </c>
      <c r="Y15" s="200" t="s">
        <v>54</v>
      </c>
      <c r="Z15" s="248">
        <v>32</v>
      </c>
      <c r="AA15" s="200">
        <v>58</v>
      </c>
      <c r="AB15" s="200">
        <v>74</v>
      </c>
      <c r="AC15" s="200">
        <v>89</v>
      </c>
      <c r="AD15" s="189"/>
      <c r="AE15" s="190"/>
      <c r="AF15" s="252" t="s">
        <v>142</v>
      </c>
      <c r="AG15" s="253" t="e">
        <f>LINTEL7!$B23</f>
        <v>#VALUE!</v>
      </c>
      <c r="AH15" s="254" t="s">
        <v>143</v>
      </c>
      <c r="AI15" s="253" t="e">
        <f>LINTEL7!$D23</f>
        <v>#N/A</v>
      </c>
      <c r="AJ15" s="255" t="e">
        <f>AB86</f>
        <v>#N/A</v>
      </c>
      <c r="AK15" s="256" t="s">
        <v>144</v>
      </c>
      <c r="AL15" s="257"/>
      <c r="AM15" s="258"/>
      <c r="AN15" s="184"/>
      <c r="AO15" s="191"/>
      <c r="AP15" s="188"/>
      <c r="AQ15" s="185" t="s">
        <v>145</v>
      </c>
      <c r="AR15" s="185"/>
      <c r="AS15" s="207"/>
      <c r="AT15" s="207"/>
      <c r="AU15" s="207"/>
      <c r="AV15" s="185"/>
    </row>
    <row r="16" spans="1:48" ht="15.75" customHeight="1">
      <c r="A16" s="93"/>
      <c r="B16" s="93"/>
      <c r="C16" s="44"/>
      <c r="D16" s="92"/>
      <c r="E16" s="45"/>
      <c r="F16" s="45"/>
      <c r="G16" s="45"/>
      <c r="H16" s="93"/>
      <c r="I16" s="45"/>
      <c r="J16" s="18"/>
      <c r="K16" s="223"/>
      <c r="L16" s="259"/>
      <c r="M16" s="211" t="s">
        <v>146</v>
      </c>
      <c r="N16" s="175" t="e">
        <f>AA9</f>
        <v>#N/A</v>
      </c>
      <c r="O16" s="185" t="s">
        <v>109</v>
      </c>
      <c r="P16" s="185"/>
      <c r="Q16" s="185"/>
      <c r="R16" s="186" t="s">
        <v>147</v>
      </c>
      <c r="S16" s="246" t="e">
        <f>N18+N17*S15+U4*S15</f>
        <v>#N/A</v>
      </c>
      <c r="T16" s="185" t="s">
        <v>148</v>
      </c>
      <c r="U16" s="185"/>
      <c r="V16" s="185"/>
      <c r="W16" s="188"/>
      <c r="X16" s="200" t="s">
        <v>149</v>
      </c>
      <c r="Y16" s="200" t="s">
        <v>149</v>
      </c>
      <c r="Z16" s="248">
        <v>24</v>
      </c>
      <c r="AA16" s="200">
        <v>61</v>
      </c>
      <c r="AB16" s="200">
        <v>78</v>
      </c>
      <c r="AC16" s="200">
        <v>94</v>
      </c>
      <c r="AD16" s="189"/>
      <c r="AE16" s="190"/>
      <c r="AF16" s="252" t="s">
        <v>150</v>
      </c>
      <c r="AG16" s="260" t="e">
        <f>LINTEL7!$B24</f>
        <v>#VALUE!</v>
      </c>
      <c r="AH16" s="254" t="s">
        <v>151</v>
      </c>
      <c r="AI16" s="260" t="e">
        <f>LINTEL7!$D24</f>
        <v>#VALUE!</v>
      </c>
      <c r="AJ16" s="255" t="e">
        <f>AB79</f>
        <v>#VALUE!</v>
      </c>
      <c r="AK16" s="256" t="s">
        <v>144</v>
      </c>
      <c r="AL16" s="261"/>
      <c r="AM16" s="262"/>
      <c r="AN16" s="184"/>
      <c r="AO16" s="191"/>
      <c r="AP16" s="188"/>
      <c r="AQ16" s="200" t="s">
        <v>93</v>
      </c>
      <c r="AR16" s="200" t="s">
        <v>94</v>
      </c>
      <c r="AS16" s="200" t="s">
        <v>14</v>
      </c>
      <c r="AT16" s="207"/>
      <c r="AU16" s="207"/>
      <c r="AV16" s="185"/>
    </row>
    <row r="17" spans="1:48" ht="15.75" customHeight="1">
      <c r="A17" s="263" t="s">
        <v>152</v>
      </c>
      <c r="B17" s="19"/>
      <c r="C17" s="19"/>
      <c r="D17" s="19"/>
      <c r="E17" s="264"/>
      <c r="F17" s="16"/>
      <c r="G17" s="16"/>
      <c r="H17" s="17"/>
      <c r="I17" s="16"/>
      <c r="J17" s="18"/>
      <c r="K17" s="223"/>
      <c r="L17" s="259"/>
      <c r="M17" s="186" t="s">
        <v>153</v>
      </c>
      <c r="N17" s="265" t="e">
        <f>(M4-M6-Q3/12)*N15+Q3/12*N16</f>
        <v>#N/A</v>
      </c>
      <c r="O17" s="185" t="s">
        <v>90</v>
      </c>
      <c r="P17" s="185"/>
      <c r="Q17" s="185"/>
      <c r="R17" s="186" t="s">
        <v>154</v>
      </c>
      <c r="S17" s="185" t="e">
        <f>U5*S15</f>
        <v>#VALUE!</v>
      </c>
      <c r="T17" s="266" t="s">
        <v>148</v>
      </c>
      <c r="U17" s="185"/>
      <c r="V17" s="185"/>
      <c r="W17" s="188"/>
      <c r="X17" s="200" t="s">
        <v>155</v>
      </c>
      <c r="Y17" s="200" t="s">
        <v>155</v>
      </c>
      <c r="Z17" s="248">
        <v>16</v>
      </c>
      <c r="AA17" s="200">
        <v>66</v>
      </c>
      <c r="AB17" s="200">
        <v>86</v>
      </c>
      <c r="AC17" s="200">
        <v>103</v>
      </c>
      <c r="AD17" s="189"/>
      <c r="AE17" s="190"/>
      <c r="AF17" s="252" t="s">
        <v>156</v>
      </c>
      <c r="AG17" s="253" t="e">
        <f>1.3*Y91/1000</f>
        <v>#N/A</v>
      </c>
      <c r="AH17" s="254" t="s">
        <v>157</v>
      </c>
      <c r="AI17" s="260" t="e">
        <f>AI15/0.9</f>
        <v>#N/A</v>
      </c>
      <c r="AJ17" s="255" t="e">
        <f t="shared" ref="AJ17:AK17" si="1">AB91</f>
        <v>#N/A</v>
      </c>
      <c r="AK17" s="256" t="e">
        <f t="shared" si="1"/>
        <v>#N/A</v>
      </c>
      <c r="AL17" s="257"/>
      <c r="AM17" s="258"/>
      <c r="AN17" s="184"/>
      <c r="AO17" s="191"/>
      <c r="AP17" s="188"/>
      <c r="AQ17" s="200">
        <v>1</v>
      </c>
      <c r="AR17" s="213">
        <f>AR5</f>
        <v>1</v>
      </c>
      <c r="AS17" s="213">
        <f>M8+AS5</f>
        <v>0.99999990000000005</v>
      </c>
      <c r="AT17" s="207"/>
      <c r="AU17" s="207"/>
      <c r="AV17" s="185"/>
    </row>
    <row r="18" spans="1:48" ht="15.75" customHeight="1">
      <c r="A18" s="19"/>
      <c r="B18" s="17" t="s">
        <v>158</v>
      </c>
      <c r="C18" s="15" t="str">
        <f>Y43</f>
        <v>No</v>
      </c>
      <c r="D18" s="19"/>
      <c r="E18" s="264"/>
      <c r="F18" s="16"/>
      <c r="G18" s="16"/>
      <c r="H18" s="17"/>
      <c r="I18" s="16"/>
      <c r="J18" s="18"/>
      <c r="K18" s="201"/>
      <c r="L18" s="185"/>
      <c r="M18" s="211" t="s">
        <v>159</v>
      </c>
      <c r="N18" s="185" t="e">
        <f>AA9*Q7/12*M4</f>
        <v>#N/A</v>
      </c>
      <c r="O18" s="185" t="s">
        <v>148</v>
      </c>
      <c r="P18" s="185"/>
      <c r="Q18" s="185"/>
      <c r="R18" s="186" t="s">
        <v>160</v>
      </c>
      <c r="S18" s="185" t="e">
        <f>U6*(S15+Q7/12)</f>
        <v>#VALUE!</v>
      </c>
      <c r="T18" s="185" t="s">
        <v>148</v>
      </c>
      <c r="U18" s="185"/>
      <c r="V18" s="185"/>
      <c r="W18" s="188"/>
      <c r="X18" s="200" t="s">
        <v>161</v>
      </c>
      <c r="Y18" s="200" t="s">
        <v>161</v>
      </c>
      <c r="Z18" s="248">
        <v>8</v>
      </c>
      <c r="AA18" s="200">
        <v>84</v>
      </c>
      <c r="AB18" s="200">
        <v>104</v>
      </c>
      <c r="AC18" s="200">
        <v>133</v>
      </c>
      <c r="AD18" s="189"/>
      <c r="AE18" s="190"/>
      <c r="AF18" s="267" t="s">
        <v>162</v>
      </c>
      <c r="AG18" s="268" t="e">
        <f>Y106</f>
        <v>#VALUE!</v>
      </c>
      <c r="AH18" s="269" t="s">
        <v>163</v>
      </c>
      <c r="AI18" s="268">
        <f>Y105</f>
        <v>0</v>
      </c>
      <c r="AJ18" s="255" t="e">
        <f>AB106</f>
        <v>#VALUE!</v>
      </c>
      <c r="AK18" s="270" t="s">
        <v>144</v>
      </c>
      <c r="AL18" s="271"/>
      <c r="AM18" s="272"/>
      <c r="AN18" s="184"/>
      <c r="AO18" s="191"/>
      <c r="AP18" s="188"/>
      <c r="AQ18" s="200">
        <v>2</v>
      </c>
      <c r="AR18" s="213" t="e">
        <f>AR11</f>
        <v>#N/A</v>
      </c>
      <c r="AS18" s="213">
        <f>AS17</f>
        <v>0.99999990000000005</v>
      </c>
      <c r="AT18" s="207"/>
      <c r="AU18" s="207"/>
      <c r="AV18" s="185"/>
    </row>
    <row r="19" spans="1:48" ht="15.75" customHeight="1">
      <c r="A19" s="19"/>
      <c r="B19" s="17" t="s">
        <v>164</v>
      </c>
      <c r="C19" s="273">
        <f>Y40</f>
        <v>0</v>
      </c>
      <c r="D19" s="19"/>
      <c r="E19" s="264"/>
      <c r="F19" s="16"/>
      <c r="G19" s="16"/>
      <c r="H19" s="17"/>
      <c r="I19" s="16"/>
      <c r="J19" s="18"/>
      <c r="K19" s="185"/>
      <c r="L19" s="185"/>
      <c r="M19" s="175"/>
      <c r="N19" s="175"/>
      <c r="O19" s="175"/>
      <c r="P19" s="185"/>
      <c r="Q19" s="185"/>
      <c r="R19" s="186" t="s">
        <v>165</v>
      </c>
      <c r="S19" s="247" t="e">
        <f>S14*U7</f>
        <v>#N/A</v>
      </c>
      <c r="T19" s="266" t="s">
        <v>166</v>
      </c>
      <c r="U19" s="185"/>
      <c r="V19" s="185"/>
      <c r="W19" s="188"/>
      <c r="X19" s="200" t="s">
        <v>55</v>
      </c>
      <c r="Y19" s="200" t="s">
        <v>55</v>
      </c>
      <c r="Z19" s="248">
        <v>8</v>
      </c>
      <c r="AA19" s="200">
        <v>84</v>
      </c>
      <c r="AB19" s="200">
        <v>104</v>
      </c>
      <c r="AC19" s="200">
        <v>133</v>
      </c>
      <c r="AD19" s="189"/>
      <c r="AE19" s="190"/>
      <c r="AF19" s="267" t="s">
        <v>167</v>
      </c>
      <c r="AG19" s="274" t="e">
        <f>Y94</f>
        <v>#N/A</v>
      </c>
      <c r="AH19" s="269" t="s">
        <v>168</v>
      </c>
      <c r="AI19" s="274" t="e">
        <f>Y83</f>
        <v>#N/A</v>
      </c>
      <c r="AJ19" s="255" t="e">
        <f t="shared" ref="AJ19:AK19" si="2">AB95</f>
        <v>#N/A</v>
      </c>
      <c r="AK19" s="270" t="e">
        <f t="shared" si="2"/>
        <v>#N/A</v>
      </c>
      <c r="AL19" s="271"/>
      <c r="AM19" s="272"/>
      <c r="AN19" s="184"/>
      <c r="AO19" s="191"/>
      <c r="AP19" s="188"/>
      <c r="AQ19" s="185"/>
      <c r="AR19" s="185"/>
      <c r="AS19" s="207"/>
      <c r="AT19" s="207"/>
      <c r="AU19" s="207"/>
      <c r="AV19" s="185"/>
    </row>
    <row r="20" spans="1:48" ht="15.75" customHeight="1">
      <c r="A20" s="19"/>
      <c r="B20" s="17" t="s">
        <v>169</v>
      </c>
      <c r="C20" s="275">
        <f>Y82</f>
        <v>0</v>
      </c>
      <c r="D20" s="19"/>
      <c r="E20" s="264"/>
      <c r="F20" s="16"/>
      <c r="G20" s="16"/>
      <c r="H20" s="17"/>
      <c r="I20" s="16"/>
      <c r="J20" s="18"/>
      <c r="K20" s="185"/>
      <c r="L20" s="276" t="s">
        <v>170</v>
      </c>
      <c r="M20" s="277">
        <f>MODULEINPUT!B27</f>
        <v>0</v>
      </c>
      <c r="N20" s="175"/>
      <c r="O20" s="175"/>
      <c r="P20" s="185"/>
      <c r="Q20" s="185"/>
      <c r="R20" s="186" t="s">
        <v>171</v>
      </c>
      <c r="S20" s="175">
        <f>U7*S15</f>
        <v>0</v>
      </c>
      <c r="T20" s="266" t="s">
        <v>172</v>
      </c>
      <c r="U20" s="185"/>
      <c r="V20" s="185"/>
      <c r="W20" s="188"/>
      <c r="X20" s="225" t="s">
        <v>117</v>
      </c>
      <c r="Y20" s="225" t="e">
        <f>VLOOKUP(X12,X13:AC19,2,FALSE)</f>
        <v>#N/A</v>
      </c>
      <c r="Z20" s="225" t="e">
        <f>VLOOKUP(X12,X13:AC19,3,FALSE)</f>
        <v>#N/A</v>
      </c>
      <c r="AA20" s="225" t="e">
        <f>VLOOKUP(X12,X13:AC19,4,FALSE)</f>
        <v>#N/A</v>
      </c>
      <c r="AB20" s="225" t="e">
        <f>VLOOKUP(X12,X13:AC19,5,FALSE)</f>
        <v>#N/A</v>
      </c>
      <c r="AC20" s="225" t="e">
        <f>VLOOKUP(X12,X13:AC19,6,FALSE)</f>
        <v>#N/A</v>
      </c>
      <c r="AD20" s="189"/>
      <c r="AE20" s="190"/>
      <c r="AF20" s="267" t="s">
        <v>173</v>
      </c>
      <c r="AG20" s="260" t="e">
        <f>AG16</f>
        <v>#VALUE!</v>
      </c>
      <c r="AH20" s="269" t="s">
        <v>174</v>
      </c>
      <c r="AI20" s="260" t="e">
        <f ca="1">AC65/1000</f>
        <v>#N/A</v>
      </c>
      <c r="AJ20" s="255" t="e">
        <f ca="1">AC66</f>
        <v>#N/A</v>
      </c>
      <c r="AK20" s="270" t="e">
        <f ca="1">AC67</f>
        <v>#N/A</v>
      </c>
      <c r="AL20" s="271"/>
      <c r="AM20" s="272"/>
      <c r="AN20" s="184"/>
      <c r="AO20" s="191"/>
      <c r="AP20" s="188"/>
      <c r="AQ20" s="185"/>
      <c r="AR20" s="185"/>
      <c r="AS20" s="207"/>
      <c r="AT20" s="207"/>
      <c r="AU20" s="207"/>
      <c r="AV20" s="185"/>
    </row>
    <row r="21" spans="1:48" ht="15.75" customHeight="1">
      <c r="A21" s="7"/>
      <c r="B21" s="7"/>
      <c r="C21" s="7"/>
      <c r="D21" s="7"/>
      <c r="E21" s="264"/>
      <c r="F21" s="16"/>
      <c r="G21" s="16"/>
      <c r="H21" s="17"/>
      <c r="I21" s="16"/>
      <c r="J21" s="18"/>
      <c r="K21" s="185"/>
      <c r="L21" s="278" t="s">
        <v>140</v>
      </c>
      <c r="M21" s="454" t="e">
        <f t="array" ref="M21">INDEX(MODULEINPUT!C14:C17,MATCH(M20,MODULEINPUT!A14:A17,0))+N15</f>
        <v>#N/A</v>
      </c>
      <c r="N21" s="175"/>
      <c r="O21" s="175"/>
      <c r="P21" s="185"/>
      <c r="Q21" s="185"/>
      <c r="R21" s="186" t="s">
        <v>175</v>
      </c>
      <c r="S21" s="247" t="e">
        <f ca="1">S14*U8</f>
        <v>#N/A</v>
      </c>
      <c r="T21" s="266" t="s">
        <v>166</v>
      </c>
      <c r="U21" s="185"/>
      <c r="V21" s="185"/>
      <c r="W21" s="188"/>
      <c r="X21" s="207"/>
      <c r="Y21" s="207"/>
      <c r="Z21" s="185"/>
      <c r="AA21" s="207"/>
      <c r="AB21" s="223" t="s">
        <v>140</v>
      </c>
      <c r="AC21" s="201" t="e">
        <f>IF(AA13=Y9,AA20,IF(AB13=Y9,AB20,AC20))</f>
        <v>#N/A</v>
      </c>
      <c r="AD21" s="189"/>
      <c r="AE21" s="190"/>
      <c r="AF21" s="242"/>
      <c r="AG21" s="243"/>
      <c r="AH21" s="243"/>
      <c r="AI21" s="243"/>
      <c r="AJ21" s="243"/>
      <c r="AK21" s="243"/>
      <c r="AL21" s="243"/>
      <c r="AM21" s="244"/>
      <c r="AN21" s="184"/>
      <c r="AO21" s="191"/>
      <c r="AP21" s="188"/>
      <c r="AQ21" s="185" t="s">
        <v>176</v>
      </c>
      <c r="AR21" s="185"/>
      <c r="AS21" s="207"/>
      <c r="AT21" s="207"/>
      <c r="AU21" s="207"/>
      <c r="AV21" s="185"/>
    </row>
    <row r="22" spans="1:48" ht="15.75" customHeight="1">
      <c r="A22" s="576" t="s">
        <v>135</v>
      </c>
      <c r="B22" s="522"/>
      <c r="C22" s="576" t="s">
        <v>136</v>
      </c>
      <c r="D22" s="522"/>
      <c r="E22" s="264"/>
      <c r="F22" s="16"/>
      <c r="G22" s="16"/>
      <c r="H22" s="17"/>
      <c r="I22" s="16"/>
      <c r="J22" s="18"/>
      <c r="K22" s="185"/>
      <c r="L22" s="278" t="s">
        <v>177</v>
      </c>
      <c r="M22" s="280" t="e">
        <f ca="1">MODULEINPUT!P5*M21</f>
        <v>#N/A</v>
      </c>
      <c r="N22" s="185"/>
      <c r="O22" s="185"/>
      <c r="P22" s="185"/>
      <c r="Q22" s="185"/>
      <c r="R22" s="186" t="s">
        <v>178</v>
      </c>
      <c r="S22" s="175" t="e">
        <f ca="1">U8*S15</f>
        <v>#N/A</v>
      </c>
      <c r="T22" s="266" t="s">
        <v>172</v>
      </c>
      <c r="U22" s="185"/>
      <c r="V22" s="185"/>
      <c r="W22" s="188"/>
      <c r="X22" s="207"/>
      <c r="Y22" s="207"/>
      <c r="Z22" s="207"/>
      <c r="AA22" s="207"/>
      <c r="AB22" s="223"/>
      <c r="AC22" s="201"/>
      <c r="AD22" s="189"/>
      <c r="AE22" s="190"/>
      <c r="AF22" s="560" t="s">
        <v>179</v>
      </c>
      <c r="AG22" s="561"/>
      <c r="AH22" s="561"/>
      <c r="AI22" s="561"/>
      <c r="AJ22" s="561"/>
      <c r="AK22" s="561"/>
      <c r="AL22" s="561"/>
      <c r="AM22" s="562"/>
      <c r="AN22" s="184"/>
      <c r="AO22" s="191"/>
      <c r="AP22" s="188"/>
      <c r="AQ22" s="213" t="s">
        <v>93</v>
      </c>
      <c r="AR22" s="213" t="s">
        <v>94</v>
      </c>
      <c r="AS22" s="213" t="s">
        <v>14</v>
      </c>
      <c r="AT22" s="207"/>
      <c r="AU22" s="207"/>
      <c r="AV22" s="185"/>
    </row>
    <row r="23" spans="1:48" ht="15.75" customHeight="1">
      <c r="A23" s="17" t="s">
        <v>142</v>
      </c>
      <c r="B23" s="281" t="e">
        <f t="shared" ref="B23:B24" si="3">Y59/1000</f>
        <v>#VALUE!</v>
      </c>
      <c r="C23" s="17" t="s">
        <v>143</v>
      </c>
      <c r="D23" s="281" t="e">
        <f>Y86/1000</f>
        <v>#N/A</v>
      </c>
      <c r="E23" s="264"/>
      <c r="F23" s="16"/>
      <c r="G23" s="16"/>
      <c r="H23" s="17"/>
      <c r="I23" s="16"/>
      <c r="J23" s="18"/>
      <c r="K23" s="185"/>
      <c r="L23" s="185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8"/>
      <c r="X23" s="185"/>
      <c r="Y23" s="185"/>
      <c r="Z23" s="185"/>
      <c r="AA23" s="185"/>
      <c r="AB23" s="185"/>
      <c r="AC23" s="185"/>
      <c r="AD23" s="189"/>
      <c r="AE23" s="190"/>
      <c r="AF23" s="282" t="s">
        <v>135</v>
      </c>
      <c r="AG23" s="249"/>
      <c r="AH23" s="249" t="s">
        <v>136</v>
      </c>
      <c r="AI23" s="249"/>
      <c r="AJ23" s="249" t="s">
        <v>137</v>
      </c>
      <c r="AK23" s="283" t="s">
        <v>138</v>
      </c>
      <c r="AL23" s="284"/>
      <c r="AM23" s="285"/>
      <c r="AN23" s="184"/>
      <c r="AO23" s="191"/>
      <c r="AP23" s="188"/>
      <c r="AQ23" s="286">
        <v>1</v>
      </c>
      <c r="AR23" s="213" t="e">
        <f t="shared" ref="AR23:AS23" si="4">AR7</f>
        <v>#N/A</v>
      </c>
      <c r="AS23" s="213">
        <f t="shared" si="4"/>
        <v>1</v>
      </c>
      <c r="AT23" s="207"/>
      <c r="AU23" s="207"/>
      <c r="AV23" s="185"/>
    </row>
    <row r="24" spans="1:48" ht="15.75" customHeight="1">
      <c r="A24" s="17" t="s">
        <v>150</v>
      </c>
      <c r="B24" s="287" t="e">
        <f t="shared" si="3"/>
        <v>#VALUE!</v>
      </c>
      <c r="C24" s="17" t="s">
        <v>151</v>
      </c>
      <c r="D24" s="287" t="e">
        <f>Y79/1000</f>
        <v>#VALUE!</v>
      </c>
      <c r="E24" s="264"/>
      <c r="F24" s="16"/>
      <c r="G24" s="16"/>
      <c r="H24" s="17"/>
      <c r="I24" s="16"/>
      <c r="J24" s="18"/>
      <c r="K24" s="288" t="s">
        <v>180</v>
      </c>
      <c r="L24" s="259"/>
      <c r="M24" s="186"/>
      <c r="N24" s="185"/>
      <c r="O24" s="185"/>
      <c r="P24" s="185"/>
      <c r="Q24" s="185"/>
      <c r="R24" s="185"/>
      <c r="S24" s="185"/>
      <c r="T24" s="185"/>
      <c r="U24" s="185"/>
      <c r="V24" s="185"/>
      <c r="W24" s="188"/>
      <c r="X24" s="185"/>
      <c r="Y24" s="185"/>
      <c r="Z24" s="185"/>
      <c r="AA24" s="185"/>
      <c r="AB24" s="185"/>
      <c r="AC24" s="207"/>
      <c r="AD24" s="189"/>
      <c r="AE24" s="190"/>
      <c r="AF24" s="252" t="s">
        <v>181</v>
      </c>
      <c r="AG24" s="253" t="e">
        <f ca="1">LINTEL7!$B31</f>
        <v>#N/A</v>
      </c>
      <c r="AH24" s="254" t="s">
        <v>143</v>
      </c>
      <c r="AI24" s="253" t="e">
        <f>LINTEL7!$D31</f>
        <v>#N/A</v>
      </c>
      <c r="AJ24" s="255" t="e">
        <f t="shared" ref="AJ24:AK24" ca="1" si="5">Q86</f>
        <v>#N/A</v>
      </c>
      <c r="AK24" s="256" t="e">
        <f t="shared" si="5"/>
        <v>#N/A</v>
      </c>
      <c r="AL24" s="284"/>
      <c r="AM24" s="285"/>
      <c r="AN24" s="184"/>
      <c r="AO24" s="191"/>
      <c r="AP24" s="188"/>
      <c r="AQ24" s="286">
        <v>2</v>
      </c>
      <c r="AR24" s="213" t="e">
        <f>AR23</f>
        <v>#N/A</v>
      </c>
      <c r="AS24" s="213">
        <f>AS11</f>
        <v>1</v>
      </c>
      <c r="AT24" s="207"/>
      <c r="AU24" s="207"/>
      <c r="AV24" s="185"/>
    </row>
    <row r="25" spans="1:48" ht="15.75" customHeight="1">
      <c r="A25" s="19"/>
      <c r="B25" s="19"/>
      <c r="C25" s="19"/>
      <c r="D25" s="19"/>
      <c r="E25" s="264"/>
      <c r="F25" s="16"/>
      <c r="G25" s="16"/>
      <c r="H25" s="17"/>
      <c r="I25" s="16"/>
      <c r="J25" s="18"/>
      <c r="K25" s="223"/>
      <c r="L25" s="259"/>
      <c r="M25" s="259"/>
      <c r="N25" s="185"/>
      <c r="O25" s="185"/>
      <c r="P25" s="185"/>
      <c r="Q25" s="185"/>
      <c r="R25" s="185"/>
      <c r="S25" s="185"/>
      <c r="T25" s="185"/>
      <c r="U25" s="185"/>
      <c r="V25" s="185"/>
      <c r="W25" s="188"/>
      <c r="X25" s="240" t="s">
        <v>182</v>
      </c>
      <c r="Y25" s="199"/>
      <c r="Z25" s="175"/>
      <c r="AA25" s="185"/>
      <c r="AB25" s="185"/>
      <c r="AC25" s="185"/>
      <c r="AD25" s="189"/>
      <c r="AE25" s="190"/>
      <c r="AF25" s="252" t="s">
        <v>183</v>
      </c>
      <c r="AG25" s="253" t="e">
        <f ca="1">LINTEL7!$B32</f>
        <v>#N/A</v>
      </c>
      <c r="AH25" s="254" t="s">
        <v>143</v>
      </c>
      <c r="AI25" s="253" t="e">
        <f>LINTEL7!$D32</f>
        <v>#N/A</v>
      </c>
      <c r="AJ25" s="255" t="e">
        <f t="shared" ref="AJ25:AK25" ca="1" si="6">Q87</f>
        <v>#N/A</v>
      </c>
      <c r="AK25" s="256" t="e">
        <f t="shared" si="6"/>
        <v>#N/A</v>
      </c>
      <c r="AL25" s="284"/>
      <c r="AM25" s="285"/>
      <c r="AN25" s="184"/>
      <c r="AO25" s="191"/>
      <c r="AP25" s="188"/>
      <c r="AQ25" s="286">
        <v>3</v>
      </c>
      <c r="AR25" s="213" t="e">
        <f>AR6-Q7/12</f>
        <v>#N/A</v>
      </c>
      <c r="AS25" s="213">
        <f>AS24</f>
        <v>1</v>
      </c>
      <c r="AT25" s="207"/>
      <c r="AU25" s="207"/>
      <c r="AV25" s="185"/>
    </row>
    <row r="26" spans="1:48" ht="15.75" customHeight="1">
      <c r="A26" s="19"/>
      <c r="B26" s="17" t="s">
        <v>184</v>
      </c>
      <c r="C26" s="289" t="e">
        <f>Y91/1000</f>
        <v>#N/A</v>
      </c>
      <c r="D26" s="19"/>
      <c r="E26" s="264"/>
      <c r="F26" s="16"/>
      <c r="G26" s="16"/>
      <c r="H26" s="17"/>
      <c r="I26" s="16"/>
      <c r="J26" s="18"/>
      <c r="K26" s="185"/>
      <c r="L26" s="186" t="s">
        <v>185</v>
      </c>
      <c r="M26" s="207" t="s">
        <v>186</v>
      </c>
      <c r="N26" s="207" t="s">
        <v>187</v>
      </c>
      <c r="O26" s="185"/>
      <c r="P26" s="185"/>
      <c r="Q26" s="175"/>
      <c r="R26" s="185"/>
      <c r="S26" s="185"/>
      <c r="T26" s="185"/>
      <c r="U26" s="185"/>
      <c r="V26" s="185"/>
      <c r="W26" s="188"/>
      <c r="X26" s="290">
        <v>3</v>
      </c>
      <c r="Y26" s="291">
        <v>0.11</v>
      </c>
      <c r="Z26" s="207"/>
      <c r="AA26" s="207"/>
      <c r="AB26" s="185"/>
      <c r="AC26" s="185"/>
      <c r="AD26" s="189"/>
      <c r="AE26" s="190"/>
      <c r="AF26" s="252" t="s">
        <v>150</v>
      </c>
      <c r="AG26" s="260" t="e">
        <f ca="1">LINTEL7!$B33</f>
        <v>#N/A</v>
      </c>
      <c r="AH26" s="254" t="s">
        <v>151</v>
      </c>
      <c r="AI26" s="260" t="e">
        <f ca="1">LINTEL7!$D33</f>
        <v>#N/A</v>
      </c>
      <c r="AJ26" s="255" t="e">
        <f t="shared" ref="AJ26:AK26" ca="1" si="7">Q88</f>
        <v>#N/A</v>
      </c>
      <c r="AK26" s="256" t="str">
        <f t="shared" si="7"/>
        <v>---</v>
      </c>
      <c r="AL26" s="284"/>
      <c r="AM26" s="285"/>
      <c r="AN26" s="184"/>
      <c r="AO26" s="191"/>
      <c r="AP26" s="188"/>
      <c r="AQ26" s="286">
        <v>4</v>
      </c>
      <c r="AR26" s="213" t="e">
        <f>AR25</f>
        <v>#N/A</v>
      </c>
      <c r="AS26" s="213">
        <f>AS5</f>
        <v>1</v>
      </c>
      <c r="AT26" s="207"/>
      <c r="AU26" s="207"/>
      <c r="AV26" s="185"/>
    </row>
    <row r="27" spans="1:48" ht="15.75" customHeight="1">
      <c r="A27" s="19"/>
      <c r="B27" s="19" t="s">
        <v>188</v>
      </c>
      <c r="C27" s="292" t="e">
        <f>Y107</f>
        <v>#VALUE!</v>
      </c>
      <c r="D27" s="19"/>
      <c r="E27" s="264"/>
      <c r="F27" s="16"/>
      <c r="G27" s="16"/>
      <c r="H27" s="17"/>
      <c r="I27" s="16"/>
      <c r="J27" s="18"/>
      <c r="K27" s="185"/>
      <c r="L27" s="186" t="s">
        <v>189</v>
      </c>
      <c r="M27" s="293" t="e">
        <f ca="1">S21</f>
        <v>#N/A</v>
      </c>
      <c r="N27" s="207" t="e">
        <f ca="1">S22</f>
        <v>#N/A</v>
      </c>
      <c r="O27" s="185"/>
      <c r="P27" s="185"/>
      <c r="Q27" s="175"/>
      <c r="R27" s="207" t="s">
        <v>190</v>
      </c>
      <c r="S27" s="207"/>
      <c r="T27" s="207"/>
      <c r="U27" s="207"/>
      <c r="V27" s="207"/>
      <c r="W27" s="231"/>
      <c r="X27" s="294">
        <v>4</v>
      </c>
      <c r="Y27" s="295">
        <v>0.2</v>
      </c>
      <c r="Z27" s="207"/>
      <c r="AA27" s="207"/>
      <c r="AB27" s="207"/>
      <c r="AC27" s="207"/>
      <c r="AD27" s="296"/>
      <c r="AE27" s="190"/>
      <c r="AF27" s="297" t="s">
        <v>191</v>
      </c>
      <c r="AG27" s="298" t="e">
        <f>LINTEL7!$B34</f>
        <v>#N/A</v>
      </c>
      <c r="AH27" s="299" t="s">
        <v>192</v>
      </c>
      <c r="AI27" s="298" t="e">
        <f>LINTEL7!$D34</f>
        <v>#N/A</v>
      </c>
      <c r="AJ27" s="300" t="e">
        <f t="shared" ref="AJ27:AK27" si="8">Q89</f>
        <v>#N/A</v>
      </c>
      <c r="AK27" s="301" t="e">
        <f t="shared" si="8"/>
        <v>#N/A</v>
      </c>
      <c r="AL27" s="302"/>
      <c r="AM27" s="303"/>
      <c r="AN27" s="184"/>
      <c r="AO27" s="304"/>
      <c r="AP27" s="207"/>
      <c r="AQ27" s="286">
        <v>5</v>
      </c>
      <c r="AR27" s="213" t="e">
        <f t="shared" ref="AR27:AS27" si="9">AR8</f>
        <v>#N/A</v>
      </c>
      <c r="AS27" s="213">
        <f t="shared" si="9"/>
        <v>1</v>
      </c>
      <c r="AT27" s="207"/>
      <c r="AU27" s="207"/>
      <c r="AV27" s="185"/>
    </row>
    <row r="28" spans="1:48" ht="15.75" customHeight="1">
      <c r="A28" s="19"/>
      <c r="B28" s="572" t="e">
        <f>IF(AJ17="FAIL",AK17,IF(AJ18="FAIL","Deflection Fails",IF(AJ20="FAIL",AK20,"")))</f>
        <v>#N/A</v>
      </c>
      <c r="C28" s="559"/>
      <c r="D28" s="522"/>
      <c r="E28" s="264"/>
      <c r="F28" s="16"/>
      <c r="G28" s="16"/>
      <c r="H28" s="17"/>
      <c r="I28" s="16"/>
      <c r="J28" s="18"/>
      <c r="K28" s="185"/>
      <c r="L28" s="186" t="s">
        <v>193</v>
      </c>
      <c r="M28" s="293" t="e">
        <f>1*S19</f>
        <v>#N/A</v>
      </c>
      <c r="N28" s="207">
        <f>1*S20</f>
        <v>0</v>
      </c>
      <c r="O28" s="185"/>
      <c r="P28" s="207"/>
      <c r="Q28" s="305" t="s">
        <v>181</v>
      </c>
      <c r="R28" s="306" t="e">
        <f ca="1">S145</f>
        <v>#N/A</v>
      </c>
      <c r="S28" s="307" t="s">
        <v>194</v>
      </c>
      <c r="T28" s="207"/>
      <c r="U28" s="207"/>
      <c r="V28" s="207"/>
      <c r="W28" s="231"/>
      <c r="X28" s="294">
        <v>5</v>
      </c>
      <c r="Y28" s="295">
        <v>0.31</v>
      </c>
      <c r="Z28" s="207"/>
      <c r="AA28" s="207"/>
      <c r="AB28" s="207"/>
      <c r="AC28" s="207"/>
      <c r="AD28" s="296"/>
      <c r="AE28" s="190"/>
      <c r="AF28" s="184"/>
      <c r="AG28" s="184"/>
      <c r="AH28" s="184"/>
      <c r="AI28" s="184"/>
      <c r="AJ28" s="184"/>
      <c r="AK28" s="184"/>
      <c r="AL28" s="184"/>
      <c r="AM28" s="184"/>
      <c r="AN28" s="184"/>
      <c r="AO28" s="308"/>
      <c r="AP28" s="231"/>
      <c r="AQ28" s="286">
        <v>6</v>
      </c>
      <c r="AR28" s="213" t="e">
        <f>AR27</f>
        <v>#N/A</v>
      </c>
      <c r="AS28" s="213">
        <f>AS25</f>
        <v>1</v>
      </c>
      <c r="AT28" s="207"/>
      <c r="AU28" s="207"/>
      <c r="AV28" s="185"/>
    </row>
    <row r="29" spans="1:48" ht="15.75" customHeight="1">
      <c r="A29" s="263" t="s">
        <v>195</v>
      </c>
      <c r="B29" s="309"/>
      <c r="C29" s="310"/>
      <c r="D29" s="19"/>
      <c r="E29" s="264"/>
      <c r="F29" s="16"/>
      <c r="G29" s="16"/>
      <c r="H29" s="17"/>
      <c r="I29" s="16"/>
      <c r="J29" s="18"/>
      <c r="K29" s="185"/>
      <c r="L29" s="223" t="s">
        <v>196</v>
      </c>
      <c r="M29" s="311" t="e">
        <f t="shared" ref="M29:N29" ca="1" si="10">MAX(M27:M28)</f>
        <v>#N/A</v>
      </c>
      <c r="N29" s="201" t="e">
        <f t="shared" ca="1" si="10"/>
        <v>#N/A</v>
      </c>
      <c r="O29" s="311" t="s">
        <v>90</v>
      </c>
      <c r="P29" s="207"/>
      <c r="Q29" s="312" t="s">
        <v>183</v>
      </c>
      <c r="R29" s="313" t="e">
        <f t="shared" ref="R29:R30" ca="1" si="11">S147</f>
        <v>#N/A</v>
      </c>
      <c r="S29" s="296" t="s">
        <v>194</v>
      </c>
      <c r="T29" s="207"/>
      <c r="U29" s="207"/>
      <c r="V29" s="207"/>
      <c r="W29" s="314"/>
      <c r="X29" s="294">
        <v>6</v>
      </c>
      <c r="Y29" s="295">
        <v>0.44</v>
      </c>
      <c r="Z29" s="207"/>
      <c r="AA29" s="207"/>
      <c r="AB29" s="201"/>
      <c r="AC29" s="207"/>
      <c r="AD29" s="296"/>
      <c r="AE29" s="190"/>
      <c r="AF29" s="184"/>
      <c r="AG29" s="184"/>
      <c r="AH29" s="184"/>
      <c r="AI29" s="184"/>
      <c r="AJ29" s="184"/>
      <c r="AK29" s="184"/>
      <c r="AL29" s="184"/>
      <c r="AM29" s="184"/>
      <c r="AN29" s="184"/>
      <c r="AO29" s="308"/>
      <c r="AP29" s="231"/>
      <c r="AQ29" s="286">
        <v>7</v>
      </c>
      <c r="AR29" s="213" t="e">
        <f>AR28+Q7/12</f>
        <v>#N/A</v>
      </c>
      <c r="AS29" s="213">
        <f>AS28</f>
        <v>1</v>
      </c>
      <c r="AT29" s="207"/>
      <c r="AU29" s="207"/>
      <c r="AV29" s="185"/>
    </row>
    <row r="30" spans="1:48" ht="15.75" customHeight="1">
      <c r="A30" s="577" t="s">
        <v>135</v>
      </c>
      <c r="B30" s="522"/>
      <c r="C30" s="577" t="s">
        <v>136</v>
      </c>
      <c r="D30" s="522"/>
      <c r="E30" s="264"/>
      <c r="F30" s="16"/>
      <c r="G30" s="16"/>
      <c r="H30" s="17"/>
      <c r="I30" s="16"/>
      <c r="J30" s="18"/>
      <c r="K30" s="185"/>
      <c r="L30" s="207"/>
      <c r="M30" s="207"/>
      <c r="N30" s="207"/>
      <c r="O30" s="293"/>
      <c r="P30" s="207"/>
      <c r="Q30" s="315" t="s">
        <v>150</v>
      </c>
      <c r="R30" s="316" t="e">
        <f t="shared" ca="1" si="11"/>
        <v>#N/A</v>
      </c>
      <c r="S30" s="317" t="s">
        <v>148</v>
      </c>
      <c r="T30" s="207"/>
      <c r="U30" s="207"/>
      <c r="V30" s="207"/>
      <c r="W30" s="314"/>
      <c r="X30" s="294">
        <v>7</v>
      </c>
      <c r="Y30" s="295">
        <v>0.6</v>
      </c>
      <c r="Z30" s="207"/>
      <c r="AA30" s="207"/>
      <c r="AB30" s="201"/>
      <c r="AC30" s="207"/>
      <c r="AD30" s="296"/>
      <c r="AE30" s="190"/>
      <c r="AF30" s="184"/>
      <c r="AG30" s="184"/>
      <c r="AH30" s="184"/>
      <c r="AI30" s="184"/>
      <c r="AJ30" s="184"/>
      <c r="AK30" s="184"/>
      <c r="AL30" s="184"/>
      <c r="AM30" s="184"/>
      <c r="AN30" s="184"/>
      <c r="AO30" s="308"/>
      <c r="AP30" s="231"/>
      <c r="AQ30" s="286">
        <v>8</v>
      </c>
      <c r="AR30" s="213" t="e">
        <f>AR29</f>
        <v>#N/A</v>
      </c>
      <c r="AS30" s="213">
        <f>AS5</f>
        <v>1</v>
      </c>
      <c r="AT30" s="207"/>
      <c r="AU30" s="207"/>
      <c r="AV30" s="185"/>
    </row>
    <row r="31" spans="1:48" ht="15.75" customHeight="1">
      <c r="A31" s="318" t="s">
        <v>181</v>
      </c>
      <c r="B31" s="319" t="e">
        <f t="shared" ref="B31:B34" ca="1" si="12">M86/1000</f>
        <v>#N/A</v>
      </c>
      <c r="C31" s="318" t="s">
        <v>143</v>
      </c>
      <c r="D31" s="319" t="e">
        <f t="shared" ref="D31:D34" si="13">O86/1000</f>
        <v>#N/A</v>
      </c>
      <c r="E31" s="264"/>
      <c r="F31" s="16"/>
      <c r="G31" s="16"/>
      <c r="H31" s="17"/>
      <c r="I31" s="16"/>
      <c r="J31" s="18"/>
      <c r="K31" s="185"/>
      <c r="L31" s="207" t="s">
        <v>197</v>
      </c>
      <c r="M31" s="207"/>
      <c r="N31" s="207"/>
      <c r="O31" s="293"/>
      <c r="P31" s="207"/>
      <c r="Q31" s="186"/>
      <c r="R31" s="313"/>
      <c r="S31" s="207"/>
      <c r="T31" s="207"/>
      <c r="U31" s="207"/>
      <c r="V31" s="207"/>
      <c r="W31" s="314"/>
      <c r="X31" s="294">
        <v>8</v>
      </c>
      <c r="Y31" s="295">
        <v>0.79</v>
      </c>
      <c r="Z31" s="207"/>
      <c r="AA31" s="207"/>
      <c r="AB31" s="201"/>
      <c r="AC31" s="207"/>
      <c r="AD31" s="296"/>
      <c r="AE31" s="190"/>
      <c r="AF31" s="184"/>
      <c r="AG31" s="184"/>
      <c r="AH31" s="184"/>
      <c r="AI31" s="184"/>
      <c r="AJ31" s="184"/>
      <c r="AK31" s="184"/>
      <c r="AL31" s="184"/>
      <c r="AM31" s="184"/>
      <c r="AN31" s="184"/>
      <c r="AO31" s="308"/>
      <c r="AP31" s="231"/>
      <c r="AQ31" s="207"/>
      <c r="AR31" s="185"/>
      <c r="AS31" s="207"/>
      <c r="AT31" s="207"/>
      <c r="AU31" s="207"/>
      <c r="AV31" s="185"/>
    </row>
    <row r="32" spans="1:48" ht="15.75" customHeight="1">
      <c r="A32" s="318" t="s">
        <v>183</v>
      </c>
      <c r="B32" s="319" t="e">
        <f t="shared" ca="1" si="12"/>
        <v>#N/A</v>
      </c>
      <c r="C32" s="318" t="s">
        <v>143</v>
      </c>
      <c r="D32" s="319" t="e">
        <f t="shared" si="13"/>
        <v>#N/A</v>
      </c>
      <c r="E32" s="264"/>
      <c r="F32" s="16"/>
      <c r="G32" s="16"/>
      <c r="H32" s="17"/>
      <c r="I32" s="16"/>
      <c r="J32" s="18"/>
      <c r="K32" s="185"/>
      <c r="L32" s="186" t="s">
        <v>168</v>
      </c>
      <c r="M32" s="207" t="e">
        <f>(VLOOKUP(Q10,X26:Y32,2,FALSE))*Q9</f>
        <v>#N/A</v>
      </c>
      <c r="N32" s="266" t="s">
        <v>198</v>
      </c>
      <c r="O32" s="320" t="s">
        <v>199</v>
      </c>
      <c r="P32" s="321" t="e">
        <f>0.8*M35</f>
        <v>#N/A</v>
      </c>
      <c r="Q32" s="186"/>
      <c r="R32" s="313"/>
      <c r="S32" s="207"/>
      <c r="T32" s="186" t="s">
        <v>200</v>
      </c>
      <c r="U32" s="313" t="e">
        <f>(0.8*M10*P32*P33*(M34-P32/2))/12</f>
        <v>#N/A</v>
      </c>
      <c r="V32" s="266" t="s">
        <v>194</v>
      </c>
      <c r="W32" s="314"/>
      <c r="X32" s="322">
        <v>9</v>
      </c>
      <c r="Y32" s="323">
        <v>1</v>
      </c>
      <c r="Z32" s="207"/>
      <c r="AA32" s="207"/>
      <c r="AB32" s="201"/>
      <c r="AC32" s="207"/>
      <c r="AD32" s="296"/>
      <c r="AE32" s="190"/>
      <c r="AF32" s="184"/>
      <c r="AG32" s="184"/>
      <c r="AH32" s="184"/>
      <c r="AI32" s="184"/>
      <c r="AJ32" s="184"/>
      <c r="AK32" s="184"/>
      <c r="AL32" s="184"/>
      <c r="AM32" s="184"/>
      <c r="AN32" s="184"/>
      <c r="AO32" s="308"/>
      <c r="AP32" s="231"/>
      <c r="AQ32" s="200" t="s">
        <v>201</v>
      </c>
      <c r="AR32" s="213" t="e">
        <f>MAX(AR5:AS30)</f>
        <v>#N/A</v>
      </c>
      <c r="AS32" s="213" t="e">
        <f>AR32</f>
        <v>#N/A</v>
      </c>
      <c r="AT32" s="207"/>
      <c r="AU32" s="207"/>
      <c r="AV32" s="185"/>
    </row>
    <row r="33" spans="1:48" ht="15.75" customHeight="1">
      <c r="A33" s="318" t="s">
        <v>150</v>
      </c>
      <c r="B33" s="324" t="e">
        <f t="shared" ca="1" si="12"/>
        <v>#N/A</v>
      </c>
      <c r="C33" s="318" t="s">
        <v>151</v>
      </c>
      <c r="D33" s="324" t="e">
        <f t="shared" ca="1" si="13"/>
        <v>#N/A</v>
      </c>
      <c r="E33" s="264"/>
      <c r="F33" s="16"/>
      <c r="G33" s="16"/>
      <c r="H33" s="17"/>
      <c r="I33" s="16"/>
      <c r="J33" s="18"/>
      <c r="K33" s="185"/>
      <c r="L33" s="186" t="s">
        <v>11</v>
      </c>
      <c r="M33" s="207">
        <f>U10*1000</f>
        <v>60000</v>
      </c>
      <c r="N33" s="266" t="s">
        <v>119</v>
      </c>
      <c r="O33" s="211" t="s">
        <v>202</v>
      </c>
      <c r="P33" s="325">
        <f>Q7</f>
        <v>0</v>
      </c>
      <c r="Q33" s="186"/>
      <c r="R33" s="313"/>
      <c r="S33" s="207"/>
      <c r="T33" s="186" t="s">
        <v>203</v>
      </c>
      <c r="U33" s="313" t="e">
        <f>(M32*M33*(M34-P32/2))/12</f>
        <v>#N/A</v>
      </c>
      <c r="V33" s="266" t="s">
        <v>194</v>
      </c>
      <c r="W33" s="314"/>
      <c r="X33" s="207"/>
      <c r="Y33" s="207"/>
      <c r="Z33" s="207"/>
      <c r="AA33" s="207"/>
      <c r="AB33" s="201"/>
      <c r="AC33" s="207"/>
      <c r="AD33" s="296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231"/>
      <c r="AQ33" s="207"/>
      <c r="AR33" s="185"/>
      <c r="AS33" s="207"/>
      <c r="AT33" s="207"/>
      <c r="AU33" s="207"/>
      <c r="AV33" s="185"/>
    </row>
    <row r="34" spans="1:48" ht="15.75" customHeight="1">
      <c r="A34" s="318" t="s">
        <v>191</v>
      </c>
      <c r="B34" s="324" t="e">
        <f t="shared" si="12"/>
        <v>#N/A</v>
      </c>
      <c r="C34" s="318" t="s">
        <v>192</v>
      </c>
      <c r="D34" s="324" t="e">
        <f t="shared" si="13"/>
        <v>#N/A</v>
      </c>
      <c r="E34" s="264"/>
      <c r="F34" s="16"/>
      <c r="G34" s="16"/>
      <c r="H34" s="17"/>
      <c r="I34" s="16"/>
      <c r="J34" s="18"/>
      <c r="K34" s="185"/>
      <c r="L34" s="186" t="s">
        <v>204</v>
      </c>
      <c r="M34" s="321" t="e">
        <f>Q8</f>
        <v>#N/A</v>
      </c>
      <c r="N34" s="266" t="s">
        <v>205</v>
      </c>
      <c r="O34" s="320" t="s">
        <v>206</v>
      </c>
      <c r="P34" s="207" t="e">
        <f>(M32*M33)/(0.8*P32*P33)</f>
        <v>#N/A</v>
      </c>
      <c r="Q34" s="266" t="e">
        <f>IF(P34&gt;M10,"Compression Controls","Tension Controls")</f>
        <v>#N/A</v>
      </c>
      <c r="R34" s="313"/>
      <c r="S34" s="207"/>
      <c r="T34" s="207"/>
      <c r="U34" s="207"/>
      <c r="V34" s="266"/>
      <c r="W34" s="314"/>
      <c r="X34" s="207"/>
      <c r="Y34" s="207"/>
      <c r="Z34" s="207"/>
      <c r="AA34" s="207"/>
      <c r="AB34" s="201"/>
      <c r="AC34" s="207"/>
      <c r="AD34" s="296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231"/>
      <c r="AQ34" s="207" t="s">
        <v>207</v>
      </c>
      <c r="AR34" s="185"/>
      <c r="AS34" s="207"/>
      <c r="AT34" s="207"/>
      <c r="AU34" s="207"/>
      <c r="AV34" s="185"/>
    </row>
    <row r="35" spans="1:48" ht="15.75" customHeight="1">
      <c r="A35" s="17"/>
      <c r="B35" s="93"/>
      <c r="C35" s="44"/>
      <c r="D35" s="92"/>
      <c r="E35" s="45"/>
      <c r="F35" s="45"/>
      <c r="G35" s="16"/>
      <c r="H35" s="17"/>
      <c r="I35" s="16"/>
      <c r="J35" s="18"/>
      <c r="K35" s="185"/>
      <c r="L35" s="186" t="s">
        <v>208</v>
      </c>
      <c r="M35" s="321" t="e">
        <f>(0.0025/(0.0025+0.002069))*M34</f>
        <v>#N/A</v>
      </c>
      <c r="N35" s="266" t="s">
        <v>82</v>
      </c>
      <c r="O35" s="326" t="s">
        <v>157</v>
      </c>
      <c r="P35" s="327" t="e">
        <f>MIN(U32:U33)</f>
        <v>#N/A</v>
      </c>
      <c r="Q35" s="328" t="s">
        <v>194</v>
      </c>
      <c r="R35" s="313"/>
      <c r="S35" s="207"/>
      <c r="T35" s="207"/>
      <c r="U35" s="207"/>
      <c r="V35" s="207"/>
      <c r="W35" s="314"/>
      <c r="X35" s="207"/>
      <c r="Y35" s="207"/>
      <c r="Z35" s="207"/>
      <c r="AA35" s="207"/>
      <c r="AB35" s="201"/>
      <c r="AC35" s="207"/>
      <c r="AD35" s="296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231"/>
      <c r="AQ35" s="213" t="s">
        <v>93</v>
      </c>
      <c r="AR35" s="213" t="s">
        <v>94</v>
      </c>
      <c r="AS35" s="213" t="s">
        <v>14</v>
      </c>
      <c r="AT35" s="207"/>
      <c r="AU35" s="207"/>
      <c r="AV35" s="185"/>
    </row>
    <row r="36" spans="1:48" ht="15.75" customHeight="1">
      <c r="A36" s="566" t="s">
        <v>209</v>
      </c>
      <c r="B36" s="567"/>
      <c r="C36" s="567"/>
      <c r="D36" s="567"/>
      <c r="E36" s="567"/>
      <c r="F36" s="567"/>
      <c r="G36" s="567"/>
      <c r="H36" s="567"/>
      <c r="I36" s="568"/>
      <c r="J36" s="18"/>
      <c r="K36" s="185"/>
      <c r="L36" s="207"/>
      <c r="M36" s="207"/>
      <c r="N36" s="207"/>
      <c r="O36" s="320"/>
      <c r="P36" s="207"/>
      <c r="Q36" s="186"/>
      <c r="R36" s="313"/>
      <c r="S36" s="207"/>
      <c r="T36" s="207"/>
      <c r="U36" s="207"/>
      <c r="V36" s="207"/>
      <c r="W36" s="314"/>
      <c r="X36" s="207"/>
      <c r="Y36" s="207"/>
      <c r="Z36" s="207"/>
      <c r="AA36" s="207"/>
      <c r="AB36" s="201"/>
      <c r="AC36" s="207"/>
      <c r="AD36" s="296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231"/>
      <c r="AQ36" s="200">
        <v>1</v>
      </c>
      <c r="AR36" s="213" t="e">
        <f t="shared" ref="AR36:AS36" si="14">AR7</f>
        <v>#N/A</v>
      </c>
      <c r="AS36" s="213">
        <f t="shared" si="14"/>
        <v>1</v>
      </c>
      <c r="AT36" s="207"/>
      <c r="AU36" s="207"/>
      <c r="AV36" s="185"/>
    </row>
    <row r="37" spans="1:48" ht="15.75" customHeight="1">
      <c r="A37" s="61"/>
      <c r="B37" s="329"/>
      <c r="C37" s="60"/>
      <c r="D37" s="330"/>
      <c r="E37" s="330"/>
      <c r="F37" s="330"/>
      <c r="G37" s="331"/>
      <c r="H37" s="60"/>
      <c r="I37" s="330"/>
      <c r="J37" s="18"/>
      <c r="K37" s="185"/>
      <c r="L37" s="207"/>
      <c r="M37" s="207"/>
      <c r="N37" s="207"/>
      <c r="O37" s="293"/>
      <c r="P37" s="207"/>
      <c r="Q37" s="186"/>
      <c r="R37" s="313"/>
      <c r="S37" s="207"/>
      <c r="T37" s="207"/>
      <c r="U37" s="207"/>
      <c r="V37" s="207"/>
      <c r="W37" s="314"/>
      <c r="X37" s="207"/>
      <c r="Y37" s="207"/>
      <c r="Z37" s="207"/>
      <c r="AA37" s="207"/>
      <c r="AB37" s="201"/>
      <c r="AC37" s="207"/>
      <c r="AD37" s="296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231"/>
      <c r="AQ37" s="200">
        <v>2</v>
      </c>
      <c r="AR37" s="213" t="e">
        <f>AR25</f>
        <v>#N/A</v>
      </c>
      <c r="AS37" s="213">
        <f>AS36</f>
        <v>1</v>
      </c>
      <c r="AT37" s="207"/>
      <c r="AU37" s="207"/>
      <c r="AV37" s="185"/>
    </row>
    <row r="38" spans="1:48" ht="15.75" customHeight="1">
      <c r="A38" s="17"/>
      <c r="B38" s="332" t="s">
        <v>210</v>
      </c>
      <c r="C38" s="19"/>
      <c r="D38" s="333"/>
      <c r="E38" s="333"/>
      <c r="F38" s="333"/>
      <c r="G38" s="334" t="s">
        <v>211</v>
      </c>
      <c r="H38" s="19"/>
      <c r="I38" s="333"/>
      <c r="J38" s="335"/>
      <c r="K38" s="336"/>
      <c r="L38" s="175"/>
      <c r="M38" s="175"/>
      <c r="N38" s="175"/>
      <c r="O38" s="175"/>
      <c r="P38" s="175"/>
      <c r="Q38" s="175"/>
      <c r="R38" s="201"/>
      <c r="S38" s="207"/>
      <c r="T38" s="207"/>
      <c r="U38" s="207"/>
      <c r="V38" s="207"/>
      <c r="W38" s="337" t="s">
        <v>212</v>
      </c>
      <c r="X38" s="338"/>
      <c r="Y38" s="338"/>
      <c r="Z38" s="338"/>
      <c r="AA38" s="338"/>
      <c r="AB38" s="339"/>
      <c r="AC38" s="338"/>
      <c r="AD38" s="317"/>
      <c r="AE38" s="340"/>
      <c r="AF38" s="340"/>
      <c r="AG38" s="340"/>
      <c r="AH38" s="340"/>
      <c r="AI38" s="340"/>
      <c r="AJ38" s="340"/>
      <c r="AK38" s="340"/>
      <c r="AL38" s="340"/>
      <c r="AM38" s="340"/>
      <c r="AN38" s="340"/>
      <c r="AO38" s="340"/>
      <c r="AP38" s="231"/>
      <c r="AQ38" s="200">
        <v>3</v>
      </c>
      <c r="AR38" s="213" t="e">
        <f>AR37</f>
        <v>#N/A</v>
      </c>
      <c r="AS38" s="213">
        <f>AS37+Q3/12</f>
        <v>1</v>
      </c>
      <c r="AT38" s="207"/>
      <c r="AU38" s="207"/>
      <c r="AV38" s="185"/>
    </row>
    <row r="39" spans="1:48" ht="15.75" customHeight="1">
      <c r="A39" s="93"/>
      <c r="B39" s="93" t="s">
        <v>213</v>
      </c>
      <c r="C39" s="44">
        <f>ROUND(LINTEL7!F6/8,0)</f>
        <v>0</v>
      </c>
      <c r="D39" s="40" t="str">
        <f>""</f>
        <v/>
      </c>
      <c r="E39" s="40"/>
      <c r="F39" s="40"/>
      <c r="G39" s="93" t="s">
        <v>214</v>
      </c>
      <c r="H39" s="44">
        <f>ROUND(LINTEL7!F11/8,0)</f>
        <v>0</v>
      </c>
      <c r="I39" s="40"/>
      <c r="J39" s="18"/>
      <c r="K39" s="341"/>
      <c r="L39" s="342"/>
      <c r="M39" s="343"/>
      <c r="N39" s="344"/>
      <c r="O39" s="342"/>
      <c r="P39" s="345"/>
      <c r="Q39" s="345"/>
      <c r="R39" s="344"/>
      <c r="S39" s="342"/>
      <c r="T39" s="344"/>
      <c r="U39" s="344"/>
      <c r="V39" s="307"/>
      <c r="W39" s="346" t="s">
        <v>215</v>
      </c>
      <c r="X39" s="207"/>
      <c r="Y39" s="207"/>
      <c r="Z39" s="207"/>
      <c r="AA39" s="207"/>
      <c r="AB39" s="207"/>
      <c r="AC39" s="207"/>
      <c r="AD39" s="296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231"/>
      <c r="AQ39" s="200">
        <v>4</v>
      </c>
      <c r="AR39" s="213" t="e">
        <f>AR29</f>
        <v>#N/A</v>
      </c>
      <c r="AS39" s="213">
        <f>AS38</f>
        <v>1</v>
      </c>
      <c r="AT39" s="207"/>
      <c r="AU39" s="207"/>
      <c r="AV39" s="185"/>
    </row>
    <row r="40" spans="1:48" ht="15.75" customHeight="1">
      <c r="A40" s="17"/>
      <c r="B40" s="17" t="s">
        <v>216</v>
      </c>
      <c r="C40" s="15" t="str">
        <f>CONCATENATE("(",LINTEL7!F7,")"," #",LINTEL7!F8)</f>
        <v>(0) #0</v>
      </c>
      <c r="D40" s="19"/>
      <c r="E40" s="19"/>
      <c r="F40" s="19"/>
      <c r="G40" s="17" t="s">
        <v>217</v>
      </c>
      <c r="H40" s="15" t="str">
        <f>CONCATENATE("(", IF(Q11=2,LINTEL7!F13*2,LINTEL7!F13),")"," #",LINTEL7!F14)</f>
        <v>(0) #0</v>
      </c>
      <c r="I40" s="19"/>
      <c r="J40" s="18"/>
      <c r="K40" s="176"/>
      <c r="L40" s="186"/>
      <c r="M40" s="246"/>
      <c r="N40" s="185"/>
      <c r="O40" s="200"/>
      <c r="P40" s="213"/>
      <c r="Q40" s="286"/>
      <c r="R40" s="185"/>
      <c r="S40" s="200"/>
      <c r="T40" s="213"/>
      <c r="U40" s="200"/>
      <c r="V40" s="296"/>
      <c r="W40" s="312"/>
      <c r="X40" s="186" t="s">
        <v>218</v>
      </c>
      <c r="Y40" s="246">
        <f>M7+Q7/12</f>
        <v>0</v>
      </c>
      <c r="Z40" s="185" t="s">
        <v>87</v>
      </c>
      <c r="AA40" s="207"/>
      <c r="AB40" s="207"/>
      <c r="AC40" s="207"/>
      <c r="AD40" s="296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231"/>
      <c r="AQ40" s="200">
        <v>5</v>
      </c>
      <c r="AR40" s="213" t="e">
        <f>AR39</f>
        <v>#N/A</v>
      </c>
      <c r="AS40" s="213">
        <f>AS36</f>
        <v>1</v>
      </c>
      <c r="AT40" s="185"/>
      <c r="AU40" s="185"/>
      <c r="AV40" s="185"/>
    </row>
    <row r="41" spans="1:48" ht="15.75" customHeight="1">
      <c r="A41" s="17"/>
      <c r="B41" s="17" t="e">
        <f>CONCATENATE("Shear Reinforcing (",AB71,"):")</f>
        <v>#VALUE!</v>
      </c>
      <c r="C41" s="15" t="s">
        <v>219</v>
      </c>
      <c r="D41" s="15" t="s">
        <v>220</v>
      </c>
      <c r="E41" s="19"/>
      <c r="F41" s="19"/>
      <c r="G41" s="17" t="s">
        <v>221</v>
      </c>
      <c r="H41" s="347" t="e">
        <f>LINTEL7!F12</f>
        <v>#N/A</v>
      </c>
      <c r="I41" s="19"/>
      <c r="J41" s="18"/>
      <c r="K41" s="176"/>
      <c r="L41" s="186"/>
      <c r="M41" s="246"/>
      <c r="N41" s="185"/>
      <c r="O41" s="200"/>
      <c r="P41" s="213"/>
      <c r="Q41" s="286"/>
      <c r="R41" s="185"/>
      <c r="S41" s="200"/>
      <c r="T41" s="213"/>
      <c r="U41" s="286"/>
      <c r="V41" s="296"/>
      <c r="W41" s="176"/>
      <c r="X41" s="211"/>
      <c r="Y41" s="175"/>
      <c r="Z41" s="175"/>
      <c r="AA41" s="207"/>
      <c r="AB41" s="207"/>
      <c r="AC41" s="207"/>
      <c r="AD41" s="296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231"/>
      <c r="AQ41" s="200">
        <v>6</v>
      </c>
      <c r="AR41" s="213" t="e">
        <f>AR28</f>
        <v>#N/A</v>
      </c>
      <c r="AS41" s="213">
        <f>AS36</f>
        <v>1</v>
      </c>
      <c r="AT41" s="185"/>
      <c r="AU41" s="185"/>
      <c r="AV41" s="185"/>
    </row>
    <row r="42" spans="1:48" ht="15.75" customHeight="1">
      <c r="A42" s="17"/>
      <c r="B42" s="17" t="s">
        <v>222</v>
      </c>
      <c r="C42" s="348" t="e">
        <f t="shared" ref="C42:C44" si="15">Z74</f>
        <v>#VALUE!</v>
      </c>
      <c r="D42" s="348" t="e">
        <f t="shared" ref="D42:D44" si="16">AB74</f>
        <v>#VALUE!</v>
      </c>
      <c r="E42" s="19"/>
      <c r="F42" s="19"/>
      <c r="G42" s="19"/>
      <c r="H42" s="19"/>
      <c r="I42" s="19"/>
      <c r="J42" s="18"/>
      <c r="K42" s="176"/>
      <c r="L42" s="186"/>
      <c r="M42" s="246"/>
      <c r="N42" s="185"/>
      <c r="O42" s="200"/>
      <c r="P42" s="213"/>
      <c r="Q42" s="286"/>
      <c r="R42" s="185"/>
      <c r="S42" s="200"/>
      <c r="T42" s="213"/>
      <c r="U42" s="286"/>
      <c r="V42" s="296"/>
      <c r="W42" s="176"/>
      <c r="X42" s="175"/>
      <c r="Y42" s="175"/>
      <c r="Z42" s="175"/>
      <c r="AA42" s="207"/>
      <c r="AB42" s="207"/>
      <c r="AC42" s="207"/>
      <c r="AD42" s="296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231"/>
      <c r="AQ42" s="207"/>
      <c r="AR42" s="185"/>
      <c r="AS42" s="185"/>
      <c r="AT42" s="185"/>
      <c r="AU42" s="185"/>
      <c r="AV42" s="185"/>
    </row>
    <row r="43" spans="1:48" ht="15.75" customHeight="1">
      <c r="A43" s="17"/>
      <c r="B43" s="17" t="s">
        <v>223</v>
      </c>
      <c r="C43" s="348" t="e">
        <f t="shared" si="15"/>
        <v>#VALUE!</v>
      </c>
      <c r="D43" s="348" t="e">
        <f t="shared" si="16"/>
        <v>#VALUE!</v>
      </c>
      <c r="E43" s="19"/>
      <c r="F43" s="19"/>
      <c r="G43" s="19"/>
      <c r="H43" s="19"/>
      <c r="I43" s="19"/>
      <c r="J43" s="18"/>
      <c r="K43" s="176"/>
      <c r="L43" s="186"/>
      <c r="M43" s="246"/>
      <c r="N43" s="185"/>
      <c r="O43" s="200"/>
      <c r="P43" s="213"/>
      <c r="Q43" s="286"/>
      <c r="R43" s="185"/>
      <c r="S43" s="200"/>
      <c r="T43" s="213"/>
      <c r="U43" s="286"/>
      <c r="V43" s="296"/>
      <c r="W43" s="349" t="s">
        <v>224</v>
      </c>
      <c r="X43" s="312"/>
      <c r="Y43" s="223" t="str">
        <f>IF((Y40/2+8/12)&lt;(M8-M6),"Yes","No")</f>
        <v>No</v>
      </c>
      <c r="Z43" s="185"/>
      <c r="AA43" s="175"/>
      <c r="AB43" s="175"/>
      <c r="AC43" s="207"/>
      <c r="AD43" s="296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231"/>
      <c r="AQ43" s="207"/>
      <c r="AR43" s="185"/>
      <c r="AS43" s="185"/>
      <c r="AT43" s="185"/>
      <c r="AU43" s="185"/>
      <c r="AV43" s="185"/>
    </row>
    <row r="44" spans="1:48" ht="15.75" customHeight="1">
      <c r="A44" s="17"/>
      <c r="B44" s="17" t="s">
        <v>225</v>
      </c>
      <c r="C44" s="348" t="e">
        <f t="shared" si="15"/>
        <v>#VALUE!</v>
      </c>
      <c r="D44" s="348" t="e">
        <f t="shared" si="16"/>
        <v>#VALUE!</v>
      </c>
      <c r="E44" s="333"/>
      <c r="F44" s="333"/>
      <c r="G44" s="333"/>
      <c r="H44" s="318" t="s">
        <v>125</v>
      </c>
      <c r="I44" s="350" t="e">
        <f ca="1">AM11</f>
        <v>#N/A</v>
      </c>
      <c r="J44" s="18"/>
      <c r="K44" s="176"/>
      <c r="L44" s="186"/>
      <c r="M44" s="246"/>
      <c r="N44" s="185"/>
      <c r="O44" s="200"/>
      <c r="P44" s="213"/>
      <c r="Q44" s="286"/>
      <c r="R44" s="185"/>
      <c r="S44" s="200"/>
      <c r="T44" s="213"/>
      <c r="U44" s="286"/>
      <c r="V44" s="296"/>
      <c r="W44" s="231"/>
      <c r="X44" s="186" t="s">
        <v>226</v>
      </c>
      <c r="Y44" s="247">
        <f>Y40/2+8/12</f>
        <v>0.66666666666666663</v>
      </c>
      <c r="Z44" s="266" t="s">
        <v>87</v>
      </c>
      <c r="AA44" s="175"/>
      <c r="AB44" s="175"/>
      <c r="AC44" s="207"/>
      <c r="AD44" s="296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231"/>
      <c r="AQ44" s="207"/>
      <c r="AR44" s="185"/>
      <c r="AS44" s="185"/>
      <c r="AT44" s="185"/>
      <c r="AU44" s="185"/>
      <c r="AV44" s="185"/>
    </row>
    <row r="45" spans="1:48" ht="15.75" customHeight="1">
      <c r="A45" s="17"/>
      <c r="B45" s="17"/>
      <c r="C45" s="348"/>
      <c r="D45" s="348"/>
      <c r="E45" s="333"/>
      <c r="F45" s="333"/>
      <c r="G45" s="333"/>
      <c r="H45" s="318"/>
      <c r="I45" s="350"/>
      <c r="J45" s="18"/>
      <c r="K45" s="176"/>
      <c r="L45" s="185"/>
      <c r="M45" s="185"/>
      <c r="N45" s="185"/>
      <c r="O45" s="185"/>
      <c r="P45" s="185"/>
      <c r="Q45" s="185"/>
      <c r="R45" s="185"/>
      <c r="S45" s="207"/>
      <c r="T45" s="207"/>
      <c r="U45" s="207"/>
      <c r="V45" s="296"/>
      <c r="W45" s="176"/>
      <c r="X45" s="211" t="s">
        <v>227</v>
      </c>
      <c r="Y45" s="175" t="e">
        <f>(Y44-Q3/12)*N15+Q3/12*N16</f>
        <v>#N/A</v>
      </c>
      <c r="Z45" s="175" t="s">
        <v>90</v>
      </c>
      <c r="AA45" s="207"/>
      <c r="AB45" s="207"/>
      <c r="AC45" s="207"/>
      <c r="AD45" s="296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231"/>
      <c r="AQ45" s="207"/>
      <c r="AR45" s="185"/>
      <c r="AS45" s="185"/>
      <c r="AT45" s="185"/>
      <c r="AU45" s="185"/>
      <c r="AV45" s="185"/>
    </row>
    <row r="46" spans="1:48" ht="15.75" customHeight="1">
      <c r="A46" s="351"/>
      <c r="B46" s="352"/>
      <c r="C46" s="353"/>
      <c r="D46" s="354"/>
      <c r="E46" s="354"/>
      <c r="F46" s="354"/>
      <c r="G46" s="355"/>
      <c r="H46" s="355"/>
      <c r="I46" s="355"/>
      <c r="J46" s="355"/>
      <c r="K46" s="176"/>
      <c r="L46" s="186"/>
      <c r="M46" s="185"/>
      <c r="N46" s="185"/>
      <c r="O46" s="185"/>
      <c r="P46" s="185"/>
      <c r="Q46" s="185"/>
      <c r="R46" s="185"/>
      <c r="S46" s="207"/>
      <c r="T46" s="207"/>
      <c r="U46" s="207"/>
      <c r="V46" s="296"/>
      <c r="W46" s="176"/>
      <c r="X46" s="175"/>
      <c r="Y46" s="175"/>
      <c r="Z46" s="175"/>
      <c r="AA46" s="266"/>
      <c r="AB46" s="207"/>
      <c r="AC46" s="207"/>
      <c r="AD46" s="296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231"/>
      <c r="AQ46" s="207"/>
      <c r="AR46" s="185"/>
      <c r="AS46" s="185"/>
      <c r="AT46" s="185"/>
      <c r="AU46" s="185"/>
      <c r="AV46" s="185"/>
    </row>
    <row r="47" spans="1:48" ht="12.75" hidden="1" customHeight="1">
      <c r="A47" s="357"/>
      <c r="B47" s="357"/>
      <c r="C47" s="8"/>
      <c r="D47" s="358"/>
      <c r="E47" s="358"/>
      <c r="F47" s="358"/>
      <c r="G47" s="359"/>
      <c r="H47" s="359"/>
      <c r="I47" s="359"/>
      <c r="J47" s="359"/>
      <c r="K47" s="176"/>
      <c r="L47" s="186"/>
      <c r="M47" s="185"/>
      <c r="N47" s="185"/>
      <c r="O47" s="185"/>
      <c r="P47" s="185"/>
      <c r="Q47" s="185"/>
      <c r="R47" s="185"/>
      <c r="S47" s="207"/>
      <c r="T47" s="207"/>
      <c r="U47" s="207"/>
      <c r="V47" s="296"/>
      <c r="W47" s="360" t="s">
        <v>228</v>
      </c>
      <c r="X47" s="175"/>
      <c r="Y47" s="175"/>
      <c r="Z47" s="175"/>
      <c r="AA47" s="207"/>
      <c r="AB47" s="207"/>
      <c r="AC47" s="207"/>
      <c r="AD47" s="296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231"/>
      <c r="AQ47" s="207"/>
      <c r="AR47" s="185"/>
      <c r="AS47" s="185"/>
      <c r="AT47" s="185"/>
      <c r="AU47" s="185"/>
      <c r="AV47" s="185"/>
    </row>
    <row r="48" spans="1:48" ht="12.75" hidden="1" customHeight="1">
      <c r="A48" s="357"/>
      <c r="B48" s="357"/>
      <c r="C48" s="8"/>
      <c r="D48" s="358"/>
      <c r="E48" s="358"/>
      <c r="F48" s="358"/>
      <c r="G48" s="359"/>
      <c r="H48" s="359"/>
      <c r="I48" s="359"/>
      <c r="J48" s="359"/>
      <c r="K48" s="176"/>
      <c r="L48" s="186"/>
      <c r="M48" s="185"/>
      <c r="N48" s="185"/>
      <c r="O48" s="185"/>
      <c r="P48" s="185"/>
      <c r="Q48" s="185"/>
      <c r="R48" s="185"/>
      <c r="S48" s="207"/>
      <c r="T48" s="207"/>
      <c r="U48" s="207"/>
      <c r="V48" s="296"/>
      <c r="W48" s="349" t="s">
        <v>229</v>
      </c>
      <c r="X48" s="207"/>
      <c r="Y48" s="207"/>
      <c r="Z48" s="207"/>
      <c r="AA48" s="207"/>
      <c r="AB48" s="207"/>
      <c r="AC48" s="207"/>
      <c r="AD48" s="296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231"/>
      <c r="AQ48" s="207"/>
      <c r="AR48" s="185"/>
      <c r="AS48" s="185"/>
      <c r="AT48" s="185"/>
      <c r="AU48" s="185"/>
      <c r="AV48" s="185"/>
    </row>
    <row r="49" spans="1:48" ht="12.75" hidden="1" customHeight="1">
      <c r="A49" s="357"/>
      <c r="B49" s="357"/>
      <c r="C49" s="8"/>
      <c r="D49" s="358"/>
      <c r="E49" s="358"/>
      <c r="F49" s="358"/>
      <c r="G49" s="359"/>
      <c r="H49" s="359"/>
      <c r="I49" s="359"/>
      <c r="J49" s="359"/>
      <c r="K49" s="176"/>
      <c r="L49" s="186"/>
      <c r="M49" s="185"/>
      <c r="N49" s="185"/>
      <c r="O49" s="185"/>
      <c r="P49" s="185"/>
      <c r="Q49" s="185"/>
      <c r="R49" s="185"/>
      <c r="S49" s="207"/>
      <c r="T49" s="207"/>
      <c r="U49" s="207"/>
      <c r="V49" s="296"/>
      <c r="W49" s="231"/>
      <c r="X49" s="207" t="s">
        <v>230</v>
      </c>
      <c r="Y49" s="362" t="e">
        <f>IF(Y43="No",U4+N17,Y45)</f>
        <v>#VALUE!</v>
      </c>
      <c r="Z49" s="266" t="s">
        <v>90</v>
      </c>
      <c r="AA49" s="363" t="s">
        <v>231</v>
      </c>
      <c r="AB49" s="364" t="e">
        <f>SUM(Y49:Y51)</f>
        <v>#VALUE!</v>
      </c>
      <c r="AC49" s="365" t="s">
        <v>90</v>
      </c>
      <c r="AD49" s="296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231"/>
      <c r="AQ49" s="207"/>
      <c r="AR49" s="185"/>
      <c r="AS49" s="185"/>
      <c r="AT49" s="185"/>
      <c r="AU49" s="185"/>
      <c r="AV49" s="185"/>
    </row>
    <row r="50" spans="1:48" ht="12.75" hidden="1" customHeight="1">
      <c r="A50" s="357"/>
      <c r="B50" s="357"/>
      <c r="C50" s="8"/>
      <c r="D50" s="358"/>
      <c r="E50" s="358"/>
      <c r="F50" s="358"/>
      <c r="G50" s="359"/>
      <c r="H50" s="359"/>
      <c r="I50" s="359"/>
      <c r="J50" s="359"/>
      <c r="K50" s="366"/>
      <c r="L50" s="367"/>
      <c r="M50" s="367"/>
      <c r="N50" s="367"/>
      <c r="O50" s="367"/>
      <c r="P50" s="367"/>
      <c r="Q50" s="367"/>
      <c r="R50" s="367"/>
      <c r="S50" s="367"/>
      <c r="T50" s="367"/>
      <c r="U50" s="367"/>
      <c r="V50" s="368"/>
      <c r="W50" s="231"/>
      <c r="X50" s="207" t="s">
        <v>232</v>
      </c>
      <c r="Y50" s="362" t="str">
        <f>IF(Y43="No",U5,0)</f>
        <v/>
      </c>
      <c r="Z50" s="266" t="s">
        <v>90</v>
      </c>
      <c r="AA50" s="231"/>
      <c r="AB50" s="207"/>
      <c r="AC50" s="189"/>
      <c r="AD50" s="189"/>
      <c r="AE50" s="191"/>
      <c r="AF50" s="191"/>
      <c r="AG50" s="191"/>
      <c r="AH50" s="191"/>
      <c r="AI50" s="191"/>
      <c r="AJ50" s="191"/>
      <c r="AK50" s="191"/>
      <c r="AL50" s="191"/>
      <c r="AM50" s="191"/>
      <c r="AN50" s="191"/>
      <c r="AO50" s="191"/>
      <c r="AP50" s="188"/>
      <c r="AQ50" s="185"/>
      <c r="AR50" s="185"/>
      <c r="AS50" s="185"/>
      <c r="AT50" s="185"/>
      <c r="AU50" s="185"/>
      <c r="AV50" s="185"/>
    </row>
    <row r="51" spans="1:48" ht="12.75" hidden="1" customHeight="1">
      <c r="A51" s="357"/>
      <c r="B51" s="357"/>
      <c r="C51" s="8"/>
      <c r="D51" s="358"/>
      <c r="E51" s="358"/>
      <c r="F51" s="358"/>
      <c r="G51" s="359"/>
      <c r="H51" s="359"/>
      <c r="I51" s="359"/>
      <c r="J51" s="359"/>
      <c r="K51" s="175"/>
      <c r="L51" s="369"/>
      <c r="M51" s="369"/>
      <c r="N51" s="369"/>
      <c r="O51" s="369"/>
      <c r="P51" s="369"/>
      <c r="Q51" s="369"/>
      <c r="R51" s="369"/>
      <c r="S51" s="578"/>
      <c r="T51" s="579"/>
      <c r="U51" s="579"/>
      <c r="V51" s="580"/>
      <c r="W51" s="231"/>
      <c r="X51" s="207" t="s">
        <v>233</v>
      </c>
      <c r="Y51" s="362" t="str">
        <f>IF(Y43="No",U6,0)</f>
        <v/>
      </c>
      <c r="Z51" s="266" t="s">
        <v>90</v>
      </c>
      <c r="AA51" s="370" t="s">
        <v>234</v>
      </c>
      <c r="AB51" s="371" t="e">
        <f>AB49*(Y40^2)/8</f>
        <v>#VALUE!</v>
      </c>
      <c r="AC51" s="368" t="s">
        <v>235</v>
      </c>
      <c r="AD51" s="189"/>
      <c r="AE51" s="372"/>
      <c r="AF51" s="373"/>
      <c r="AG51" s="373"/>
      <c r="AH51" s="373"/>
      <c r="AI51" s="373"/>
      <c r="AJ51" s="373"/>
      <c r="AK51" s="373"/>
      <c r="AL51" s="373"/>
      <c r="AM51" s="373"/>
      <c r="AN51" s="373"/>
      <c r="AO51" s="373"/>
      <c r="AP51" s="185"/>
      <c r="AQ51" s="185"/>
      <c r="AR51" s="185"/>
      <c r="AS51" s="185"/>
      <c r="AT51" s="185"/>
      <c r="AU51" s="185"/>
      <c r="AV51" s="185"/>
    </row>
    <row r="52" spans="1:48" ht="12.75" hidden="1" customHeight="1">
      <c r="A52" s="357"/>
      <c r="B52" s="357"/>
      <c r="C52" s="8"/>
      <c r="D52" s="358"/>
      <c r="E52" s="358"/>
      <c r="F52" s="358"/>
      <c r="G52" s="359"/>
      <c r="H52" s="359"/>
      <c r="I52" s="359"/>
      <c r="J52" s="359"/>
      <c r="K52" s="175"/>
      <c r="L52" s="175"/>
      <c r="M52" s="175"/>
      <c r="N52" s="175"/>
      <c r="O52" s="175"/>
      <c r="P52" s="175"/>
      <c r="Q52" s="175"/>
      <c r="R52" s="175"/>
      <c r="S52" s="207"/>
      <c r="T52" s="207"/>
      <c r="U52" s="207"/>
      <c r="V52" s="207"/>
      <c r="W52" s="231"/>
      <c r="X52" s="175"/>
      <c r="Y52" s="175"/>
      <c r="Z52" s="175"/>
      <c r="AA52" s="374"/>
      <c r="AB52" s="266"/>
      <c r="AC52" s="207"/>
      <c r="AD52" s="296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231"/>
      <c r="AQ52" s="207"/>
      <c r="AR52" s="185"/>
      <c r="AS52" s="185"/>
      <c r="AT52" s="185"/>
      <c r="AU52" s="185"/>
      <c r="AV52" s="185"/>
    </row>
    <row r="53" spans="1:48" ht="12.75" hidden="1" customHeight="1">
      <c r="A53" s="357"/>
      <c r="B53" s="357"/>
      <c r="C53" s="8"/>
      <c r="D53" s="358"/>
      <c r="E53" s="358"/>
      <c r="F53" s="358"/>
      <c r="G53" s="359"/>
      <c r="H53" s="359"/>
      <c r="I53" s="359"/>
      <c r="J53" s="359"/>
      <c r="K53" s="375" t="s">
        <v>236</v>
      </c>
      <c r="L53" s="175"/>
      <c r="M53" s="175"/>
      <c r="N53" s="175"/>
      <c r="O53" s="175"/>
      <c r="P53" s="175"/>
      <c r="Q53" s="175"/>
      <c r="R53" s="175"/>
      <c r="S53" s="207"/>
      <c r="T53" s="207"/>
      <c r="U53" s="207"/>
      <c r="V53" s="207"/>
      <c r="W53" s="176"/>
      <c r="X53" s="175"/>
      <c r="Y53" s="175"/>
      <c r="Z53" s="175"/>
      <c r="AA53" s="185"/>
      <c r="AB53" s="207"/>
      <c r="AC53" s="207"/>
      <c r="AD53" s="296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231"/>
      <c r="AQ53" s="207"/>
      <c r="AR53" s="185"/>
      <c r="AS53" s="185"/>
      <c r="AT53" s="185"/>
      <c r="AU53" s="185"/>
      <c r="AV53" s="185"/>
    </row>
    <row r="54" spans="1:48" ht="14.25" hidden="1" customHeight="1">
      <c r="A54" s="357"/>
      <c r="B54" s="357"/>
      <c r="C54" s="8"/>
      <c r="D54" s="358"/>
      <c r="E54" s="358"/>
      <c r="F54" s="358"/>
      <c r="G54" s="359"/>
      <c r="H54" s="359"/>
      <c r="I54" s="359"/>
      <c r="J54" s="359"/>
      <c r="K54" s="175"/>
      <c r="L54" s="175"/>
      <c r="M54" s="175"/>
      <c r="N54" s="175"/>
      <c r="O54" s="175"/>
      <c r="P54" s="175"/>
      <c r="Q54" s="175"/>
      <c r="R54" s="175"/>
      <c r="S54" s="207"/>
      <c r="T54" s="207"/>
      <c r="U54" s="207"/>
      <c r="V54" s="207"/>
      <c r="W54" s="349" t="s">
        <v>237</v>
      </c>
      <c r="X54" s="207"/>
      <c r="Y54" s="376" t="s">
        <v>238</v>
      </c>
      <c r="Z54" s="377">
        <v>1</v>
      </c>
      <c r="AA54" s="207"/>
      <c r="AB54" s="207"/>
      <c r="AC54" s="207"/>
      <c r="AD54" s="296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231"/>
      <c r="AQ54" s="207"/>
      <c r="AR54" s="185"/>
      <c r="AS54" s="185"/>
      <c r="AT54" s="185"/>
      <c r="AU54" s="185"/>
      <c r="AV54" s="185"/>
    </row>
    <row r="55" spans="1:48" ht="12.75" hidden="1" customHeight="1">
      <c r="A55" s="357"/>
      <c r="B55" s="357"/>
      <c r="C55" s="8"/>
      <c r="D55" s="358"/>
      <c r="E55" s="358"/>
      <c r="F55" s="358"/>
      <c r="G55" s="359"/>
      <c r="H55" s="359"/>
      <c r="I55" s="359"/>
      <c r="J55" s="359"/>
      <c r="K55" s="175"/>
      <c r="L55" s="378" t="s">
        <v>191</v>
      </c>
      <c r="M55" s="379" t="e">
        <f>1.2*S16+1.6*(MAX(S17:S18))+0.8*(MIN(S17:S18))</f>
        <v>#N/A</v>
      </c>
      <c r="N55" s="380" t="s">
        <v>148</v>
      </c>
      <c r="O55" s="175"/>
      <c r="P55" s="175"/>
      <c r="Q55" s="175"/>
      <c r="R55" s="175"/>
      <c r="S55" s="207"/>
      <c r="T55" s="207"/>
      <c r="U55" s="207"/>
      <c r="V55" s="207"/>
      <c r="W55" s="176"/>
      <c r="X55" s="186" t="s">
        <v>239</v>
      </c>
      <c r="Y55" s="374" t="e">
        <f>1.2*Y49+1.6*Y50+0.5*Y51</f>
        <v>#VALUE!</v>
      </c>
      <c r="Z55" s="266" t="s">
        <v>90</v>
      </c>
      <c r="AA55" s="207"/>
      <c r="AB55" s="207"/>
      <c r="AC55" s="207"/>
      <c r="AD55" s="296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231"/>
      <c r="AQ55" s="207"/>
      <c r="AR55" s="185"/>
      <c r="AS55" s="185"/>
      <c r="AT55" s="185"/>
      <c r="AU55" s="185"/>
      <c r="AV55" s="185"/>
    </row>
    <row r="56" spans="1:48" ht="14.25" hidden="1" customHeight="1">
      <c r="A56" s="357"/>
      <c r="B56" s="357"/>
      <c r="C56" s="8"/>
      <c r="D56" s="358"/>
      <c r="E56" s="358"/>
      <c r="F56" s="358"/>
      <c r="G56" s="359"/>
      <c r="H56" s="359"/>
      <c r="I56" s="359"/>
      <c r="J56" s="359"/>
      <c r="K56" s="175"/>
      <c r="L56" s="211" t="s">
        <v>240</v>
      </c>
      <c r="M56" s="185" t="e">
        <f>Q7*M5</f>
        <v>#N/A</v>
      </c>
      <c r="N56" s="185" t="s">
        <v>198</v>
      </c>
      <c r="O56" s="175"/>
      <c r="P56" s="211" t="s">
        <v>241</v>
      </c>
      <c r="Q56" s="381" t="e">
        <f>0.8*(0.8*M10*(M56-M32)+(M33*M32))*(1-(M59/140)^2)</f>
        <v>#N/A</v>
      </c>
      <c r="R56" s="175" t="s">
        <v>242</v>
      </c>
      <c r="S56" s="207"/>
      <c r="T56" s="207"/>
      <c r="U56" s="207"/>
      <c r="V56" s="207"/>
      <c r="W56" s="176"/>
      <c r="X56" s="186" t="s">
        <v>243</v>
      </c>
      <c r="Y56" s="374" t="e">
        <f>1.2*Y49+1.6*Y51+Z54*Y50</f>
        <v>#VALUE!</v>
      </c>
      <c r="Z56" s="266" t="s">
        <v>90</v>
      </c>
      <c r="AA56" s="207"/>
      <c r="AB56" s="207"/>
      <c r="AC56" s="207"/>
      <c r="AD56" s="296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231"/>
      <c r="AQ56" s="207"/>
      <c r="AR56" s="185"/>
      <c r="AS56" s="185"/>
      <c r="AT56" s="185"/>
      <c r="AU56" s="185"/>
      <c r="AV56" s="185"/>
    </row>
    <row r="57" spans="1:48" ht="13.5" hidden="1" customHeight="1">
      <c r="A57" s="357"/>
      <c r="B57" s="357"/>
      <c r="C57" s="8"/>
      <c r="D57" s="358"/>
      <c r="E57" s="358"/>
      <c r="F57" s="358"/>
      <c r="G57" s="359"/>
      <c r="H57" s="359"/>
      <c r="I57" s="359"/>
      <c r="J57" s="359"/>
      <c r="K57" s="207"/>
      <c r="L57" s="211" t="s">
        <v>244</v>
      </c>
      <c r="M57" s="265" t="e">
        <f>Q7*M5^3/12</f>
        <v>#N/A</v>
      </c>
      <c r="N57" s="185" t="s">
        <v>245</v>
      </c>
      <c r="O57" s="175"/>
      <c r="P57" s="211" t="s">
        <v>241</v>
      </c>
      <c r="Q57" s="381" t="e">
        <f>0.8*(0.8*M10*(M56-M32)+(M33*M32))*(70/M59)^2</f>
        <v>#N/A</v>
      </c>
      <c r="R57" s="175" t="s">
        <v>246</v>
      </c>
      <c r="S57" s="207"/>
      <c r="T57" s="207"/>
      <c r="U57" s="207"/>
      <c r="V57" s="207"/>
      <c r="W57" s="176"/>
      <c r="X57" s="223" t="e">
        <f>IF(Y56&gt;Y55,X56,X55)</f>
        <v>#VALUE!</v>
      </c>
      <c r="Y57" s="382" t="e">
        <f>MAX(Y55:Y56)</f>
        <v>#VALUE!</v>
      </c>
      <c r="Z57" s="383" t="s">
        <v>90</v>
      </c>
      <c r="AA57" s="207"/>
      <c r="AB57" s="207"/>
      <c r="AC57" s="207"/>
      <c r="AD57" s="296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231"/>
      <c r="AQ57" s="207"/>
      <c r="AR57" s="185"/>
      <c r="AS57" s="185"/>
      <c r="AT57" s="185"/>
      <c r="AU57" s="185"/>
      <c r="AV57" s="185"/>
    </row>
    <row r="58" spans="1:48" ht="13.5" hidden="1" customHeight="1">
      <c r="A58" s="357"/>
      <c r="B58" s="357"/>
      <c r="C58" s="8"/>
      <c r="D58" s="358"/>
      <c r="E58" s="358"/>
      <c r="F58" s="358"/>
      <c r="G58" s="359"/>
      <c r="H58" s="359"/>
      <c r="I58" s="359"/>
      <c r="J58" s="359"/>
      <c r="K58" s="207"/>
      <c r="L58" s="186" t="s">
        <v>247</v>
      </c>
      <c r="M58" s="246" t="e">
        <f>SQRT(M57/M56)</f>
        <v>#N/A</v>
      </c>
      <c r="N58" s="185"/>
      <c r="O58" s="175"/>
      <c r="P58" s="384" t="s">
        <v>241</v>
      </c>
      <c r="Q58" s="385" t="e">
        <f>IF(M59&lt;99,Q56,Q57)</f>
        <v>#N/A</v>
      </c>
      <c r="R58" s="386" t="s">
        <v>148</v>
      </c>
      <c r="S58" s="207"/>
      <c r="T58" s="207"/>
      <c r="U58" s="207"/>
      <c r="V58" s="207"/>
      <c r="W58" s="176"/>
      <c r="X58" s="175"/>
      <c r="Y58" s="175"/>
      <c r="Z58" s="175"/>
      <c r="AA58" s="207"/>
      <c r="AB58" s="207"/>
      <c r="AC58" s="207"/>
      <c r="AD58" s="296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231"/>
      <c r="AQ58" s="207"/>
      <c r="AR58" s="185"/>
      <c r="AS58" s="185"/>
      <c r="AT58" s="185"/>
      <c r="AU58" s="185"/>
      <c r="AV58" s="185"/>
    </row>
    <row r="59" spans="1:48" ht="12.75" hidden="1" customHeight="1">
      <c r="A59" s="357"/>
      <c r="B59" s="357"/>
      <c r="C59" s="8"/>
      <c r="D59" s="358"/>
      <c r="E59" s="358"/>
      <c r="F59" s="358"/>
      <c r="G59" s="359"/>
      <c r="H59" s="359"/>
      <c r="I59" s="359"/>
      <c r="J59" s="359"/>
      <c r="K59" s="207"/>
      <c r="L59" s="185" t="s">
        <v>248</v>
      </c>
      <c r="M59" s="246" t="e">
        <f>M4*12/M58</f>
        <v>#N/A</v>
      </c>
      <c r="N59" s="185"/>
      <c r="O59" s="185"/>
      <c r="P59" s="207"/>
      <c r="Q59" s="207"/>
      <c r="R59" s="201"/>
      <c r="S59" s="207"/>
      <c r="T59" s="207"/>
      <c r="U59" s="207"/>
      <c r="V59" s="207"/>
      <c r="W59" s="176"/>
      <c r="X59" s="387" t="s">
        <v>142</v>
      </c>
      <c r="Y59" s="388" t="e">
        <f>(Y57*Y40^2)/8</f>
        <v>#VALUE!</v>
      </c>
      <c r="Z59" s="389" t="s">
        <v>235</v>
      </c>
      <c r="AA59" s="207"/>
      <c r="AB59" s="207"/>
      <c r="AC59" s="207"/>
      <c r="AD59" s="296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231"/>
      <c r="AQ59" s="207"/>
      <c r="AR59" s="185"/>
      <c r="AS59" s="185"/>
      <c r="AT59" s="185"/>
      <c r="AU59" s="185"/>
      <c r="AV59" s="185"/>
    </row>
    <row r="60" spans="1:48" ht="12.75" hidden="1" customHeight="1">
      <c r="A60" s="357"/>
      <c r="B60" s="357"/>
      <c r="C60" s="8"/>
      <c r="D60" s="358"/>
      <c r="E60" s="358"/>
      <c r="F60" s="358"/>
      <c r="G60" s="359"/>
      <c r="H60" s="359"/>
      <c r="I60" s="359"/>
      <c r="J60" s="359"/>
      <c r="K60" s="207"/>
      <c r="L60" s="207"/>
      <c r="M60" s="185"/>
      <c r="N60" s="185"/>
      <c r="O60" s="185"/>
      <c r="P60" s="207"/>
      <c r="Q60" s="207"/>
      <c r="R60" s="201"/>
      <c r="S60" s="207"/>
      <c r="T60" s="207"/>
      <c r="U60" s="207"/>
      <c r="V60" s="207"/>
      <c r="W60" s="176"/>
      <c r="X60" s="390" t="s">
        <v>150</v>
      </c>
      <c r="Y60" s="391" t="e">
        <f>Y57*Y40/2</f>
        <v>#VALUE!</v>
      </c>
      <c r="Z60" s="392" t="s">
        <v>148</v>
      </c>
      <c r="AA60" s="207"/>
      <c r="AB60" s="207"/>
      <c r="AC60" s="207"/>
      <c r="AD60" s="296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231"/>
      <c r="AQ60" s="207"/>
      <c r="AR60" s="185"/>
      <c r="AS60" s="185"/>
      <c r="AT60" s="185"/>
      <c r="AU60" s="185"/>
      <c r="AV60" s="185"/>
    </row>
    <row r="61" spans="1:48" ht="12.75" hidden="1" customHeight="1">
      <c r="A61" s="357"/>
      <c r="B61" s="357"/>
      <c r="C61" s="8"/>
      <c r="D61" s="358"/>
      <c r="E61" s="358"/>
      <c r="F61" s="358"/>
      <c r="G61" s="359"/>
      <c r="H61" s="359"/>
      <c r="I61" s="359"/>
      <c r="J61" s="359"/>
      <c r="K61" s="207"/>
      <c r="L61" s="207"/>
      <c r="M61" s="185"/>
      <c r="N61" s="185"/>
      <c r="O61" s="185"/>
      <c r="P61" s="207"/>
      <c r="Q61" s="207"/>
      <c r="R61" s="201"/>
      <c r="S61" s="207"/>
      <c r="T61" s="207"/>
      <c r="U61" s="207"/>
      <c r="V61" s="207"/>
      <c r="W61" s="176"/>
      <c r="X61" s="175"/>
      <c r="Y61" s="175"/>
      <c r="Z61" s="175"/>
      <c r="AA61" s="207"/>
      <c r="AB61" s="207"/>
      <c r="AC61" s="207"/>
      <c r="AD61" s="296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231"/>
      <c r="AQ61" s="207"/>
      <c r="AR61" s="185"/>
      <c r="AS61" s="185"/>
      <c r="AT61" s="185"/>
      <c r="AU61" s="185"/>
      <c r="AV61" s="185"/>
    </row>
    <row r="62" spans="1:48" ht="12.75" hidden="1" customHeight="1">
      <c r="A62" s="357"/>
      <c r="B62" s="357"/>
      <c r="C62" s="8"/>
      <c r="D62" s="358"/>
      <c r="E62" s="358"/>
      <c r="F62" s="358"/>
      <c r="G62" s="359"/>
      <c r="H62" s="359"/>
      <c r="I62" s="359"/>
      <c r="J62" s="359"/>
      <c r="K62" s="207"/>
      <c r="L62" s="207"/>
      <c r="M62" s="185"/>
      <c r="N62" s="185"/>
      <c r="O62" s="185"/>
      <c r="P62" s="207"/>
      <c r="Q62" s="207"/>
      <c r="R62" s="201"/>
      <c r="S62" s="207"/>
      <c r="T62" s="207"/>
      <c r="U62" s="207"/>
      <c r="V62" s="207"/>
      <c r="W62" s="360" t="s">
        <v>249</v>
      </c>
      <c r="X62" s="175"/>
      <c r="Y62" s="175"/>
      <c r="Z62" s="175"/>
      <c r="AA62" s="207"/>
      <c r="AB62" s="207"/>
      <c r="AC62" s="207"/>
      <c r="AD62" s="296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231"/>
      <c r="AQ62" s="207"/>
      <c r="AR62" s="185"/>
      <c r="AS62" s="185"/>
      <c r="AT62" s="185"/>
      <c r="AU62" s="185"/>
      <c r="AV62" s="185"/>
    </row>
    <row r="63" spans="1:48" ht="12.75" hidden="1" customHeight="1">
      <c r="A63" s="357"/>
      <c r="B63" s="357"/>
      <c r="C63" s="8"/>
      <c r="D63" s="358"/>
      <c r="E63" s="358"/>
      <c r="F63" s="358"/>
      <c r="G63" s="359"/>
      <c r="H63" s="359"/>
      <c r="I63" s="359"/>
      <c r="J63" s="359"/>
      <c r="K63" s="207"/>
      <c r="L63" s="207"/>
      <c r="M63" s="185"/>
      <c r="N63" s="185"/>
      <c r="O63" s="185"/>
      <c r="P63" s="207"/>
      <c r="Q63" s="207"/>
      <c r="R63" s="201"/>
      <c r="S63" s="207"/>
      <c r="T63" s="207"/>
      <c r="U63" s="207"/>
      <c r="V63" s="207"/>
      <c r="W63" s="176" t="s">
        <v>250</v>
      </c>
      <c r="X63" s="175"/>
      <c r="Y63" s="175"/>
      <c r="Z63" s="175"/>
      <c r="AA63" s="207"/>
      <c r="AB63" s="207"/>
      <c r="AC63" s="207"/>
      <c r="AD63" s="296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231"/>
      <c r="AQ63" s="207"/>
      <c r="AR63" s="185"/>
      <c r="AS63" s="185"/>
      <c r="AT63" s="185"/>
      <c r="AU63" s="185"/>
      <c r="AV63" s="185"/>
    </row>
    <row r="64" spans="1:48" ht="12.75" hidden="1" customHeight="1">
      <c r="A64" s="357"/>
      <c r="B64" s="357"/>
      <c r="C64" s="8"/>
      <c r="D64" s="358"/>
      <c r="E64" s="358"/>
      <c r="F64" s="358"/>
      <c r="G64" s="359"/>
      <c r="H64" s="359"/>
      <c r="I64" s="359"/>
      <c r="J64" s="359"/>
      <c r="K64" s="207"/>
      <c r="L64" s="207"/>
      <c r="M64" s="185"/>
      <c r="N64" s="185"/>
      <c r="O64" s="185"/>
      <c r="P64" s="207"/>
      <c r="Q64" s="207"/>
      <c r="R64" s="201"/>
      <c r="S64" s="207"/>
      <c r="T64" s="207"/>
      <c r="U64" s="207"/>
      <c r="V64" s="207"/>
      <c r="W64" s="231"/>
      <c r="X64" s="211" t="s">
        <v>251</v>
      </c>
      <c r="Y64" s="175" t="e">
        <f>M5*Q3</f>
        <v>#N/A</v>
      </c>
      <c r="Z64" s="266" t="s">
        <v>198</v>
      </c>
      <c r="AA64" s="207"/>
      <c r="AB64" s="207" t="s">
        <v>252</v>
      </c>
      <c r="AC64" s="207"/>
      <c r="AD64" s="296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231"/>
      <c r="AQ64" s="207"/>
      <c r="AR64" s="185"/>
      <c r="AS64" s="185"/>
      <c r="AT64" s="185"/>
      <c r="AU64" s="185"/>
      <c r="AV64" s="185"/>
    </row>
    <row r="65" spans="1:48" ht="12.75" hidden="1" customHeight="1">
      <c r="A65" s="357"/>
      <c r="B65" s="357"/>
      <c r="C65" s="8"/>
      <c r="D65" s="358"/>
      <c r="E65" s="358"/>
      <c r="F65" s="358"/>
      <c r="G65" s="359"/>
      <c r="H65" s="359"/>
      <c r="I65" s="359"/>
      <c r="J65" s="359"/>
      <c r="K65" s="393" t="s">
        <v>253</v>
      </c>
      <c r="L65" s="207"/>
      <c r="M65" s="185"/>
      <c r="N65" s="185"/>
      <c r="O65" s="185"/>
      <c r="P65" s="207"/>
      <c r="Q65" s="207"/>
      <c r="R65" s="201"/>
      <c r="S65" s="207"/>
      <c r="T65" s="207"/>
      <c r="U65" s="207"/>
      <c r="V65" s="207"/>
      <c r="W65" s="231"/>
      <c r="X65" s="207" t="s">
        <v>254</v>
      </c>
      <c r="Y65" s="374" t="e">
        <f>MIN(Y59*12/(Y60*Q3),1)</f>
        <v>#VALUE!</v>
      </c>
      <c r="Z65" s="207"/>
      <c r="AA65" s="207"/>
      <c r="AB65" s="186" t="s">
        <v>174</v>
      </c>
      <c r="AC65" s="362" t="e">
        <f ca="1">0.6*0.6*S149*M5*(Q7-3/8)</f>
        <v>#N/A</v>
      </c>
      <c r="AD65" s="394" t="s">
        <v>148</v>
      </c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231"/>
      <c r="AQ65" s="207"/>
      <c r="AR65" s="185"/>
      <c r="AS65" s="185"/>
      <c r="AT65" s="185"/>
      <c r="AU65" s="185"/>
      <c r="AV65" s="185"/>
    </row>
    <row r="66" spans="1:48" ht="12.75" hidden="1" customHeight="1">
      <c r="A66" s="357"/>
      <c r="B66" s="357"/>
      <c r="C66" s="8"/>
      <c r="D66" s="358"/>
      <c r="E66" s="358"/>
      <c r="F66" s="358"/>
      <c r="G66" s="359"/>
      <c r="H66" s="359"/>
      <c r="I66" s="359"/>
      <c r="J66" s="359"/>
      <c r="K66" s="207"/>
      <c r="L66" s="207"/>
      <c r="M66" s="185"/>
      <c r="N66" s="185"/>
      <c r="O66" s="185"/>
      <c r="P66" s="207"/>
      <c r="Q66" s="207"/>
      <c r="R66" s="201"/>
      <c r="S66" s="207"/>
      <c r="T66" s="207"/>
      <c r="U66" s="207"/>
      <c r="V66" s="207"/>
      <c r="W66" s="231"/>
      <c r="X66" s="378" t="s">
        <v>255</v>
      </c>
      <c r="Y66" s="395" t="e">
        <f>(4-1.75*Y65)*Y64*SQRT(M10)</f>
        <v>#VALUE!</v>
      </c>
      <c r="Z66" s="396" t="s">
        <v>148</v>
      </c>
      <c r="AA66" s="207"/>
      <c r="AB66" s="207" t="s">
        <v>256</v>
      </c>
      <c r="AC66" s="207" t="e">
        <f ca="1">IF(AC65&gt;Y60,"PASS","FAIL")</f>
        <v>#N/A</v>
      </c>
      <c r="AD66" s="296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231"/>
      <c r="AQ66" s="207"/>
      <c r="AR66" s="185"/>
      <c r="AS66" s="185"/>
      <c r="AT66" s="185"/>
      <c r="AU66" s="185"/>
      <c r="AV66" s="185"/>
    </row>
    <row r="67" spans="1:48" ht="12.75" hidden="1" customHeight="1">
      <c r="A67" s="357"/>
      <c r="B67" s="357"/>
      <c r="C67" s="8"/>
      <c r="D67" s="358"/>
      <c r="E67" s="358"/>
      <c r="F67" s="358"/>
      <c r="G67" s="359"/>
      <c r="H67" s="359"/>
      <c r="I67" s="359"/>
      <c r="J67" s="359"/>
      <c r="K67" s="207"/>
      <c r="L67" s="186" t="s">
        <v>257</v>
      </c>
      <c r="M67" s="320" t="e">
        <f>N14</f>
        <v>#N/A</v>
      </c>
      <c r="N67" s="185"/>
      <c r="O67" s="185"/>
      <c r="P67" s="207"/>
      <c r="Q67" s="266" t="s">
        <v>258</v>
      </c>
      <c r="R67" s="201"/>
      <c r="S67" s="207"/>
      <c r="T67" s="207"/>
      <c r="U67" s="207"/>
      <c r="V67" s="207"/>
      <c r="W67" s="231"/>
      <c r="X67" s="207"/>
      <c r="Y67" s="207"/>
      <c r="Z67" s="207"/>
      <c r="AA67" s="207"/>
      <c r="AB67" s="207"/>
      <c r="AC67" s="207" t="e">
        <f ca="1">IF(AC66="pass","---","Increase bearing area")</f>
        <v>#N/A</v>
      </c>
      <c r="AD67" s="296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231"/>
      <c r="AQ67" s="207"/>
      <c r="AR67" s="185"/>
      <c r="AS67" s="185"/>
      <c r="AT67" s="185"/>
      <c r="AU67" s="185"/>
      <c r="AV67" s="185"/>
    </row>
    <row r="68" spans="1:48" ht="12.75" hidden="1" customHeight="1">
      <c r="A68" s="357"/>
      <c r="B68" s="357"/>
      <c r="C68" s="8"/>
      <c r="D68" s="358"/>
      <c r="E68" s="358"/>
      <c r="F68" s="358"/>
      <c r="G68" s="359"/>
      <c r="H68" s="359"/>
      <c r="I68" s="359"/>
      <c r="J68" s="359"/>
      <c r="K68" s="207"/>
      <c r="L68" s="186" t="s">
        <v>259</v>
      </c>
      <c r="M68" s="320" t="e">
        <f>M55/M56</f>
        <v>#N/A</v>
      </c>
      <c r="N68" s="185"/>
      <c r="O68" s="185"/>
      <c r="P68" s="207"/>
      <c r="Q68" s="175"/>
      <c r="R68" s="186" t="s">
        <v>188</v>
      </c>
      <c r="S68" s="397" t="e">
        <f ca="1">5*R28*(M4*12)^2/(48*57000*SQRT(M10)*M57)</f>
        <v>#N/A</v>
      </c>
      <c r="T68" s="207" t="s">
        <v>82</v>
      </c>
      <c r="U68" s="207"/>
      <c r="V68" s="207"/>
      <c r="W68" s="349" t="s">
        <v>260</v>
      </c>
      <c r="X68" s="207"/>
      <c r="Y68" s="207"/>
      <c r="Z68" s="207"/>
      <c r="AA68" s="207"/>
      <c r="AB68" s="207"/>
      <c r="AC68" s="207"/>
      <c r="AD68" s="296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231"/>
      <c r="AQ68" s="207"/>
      <c r="AR68" s="185"/>
      <c r="AS68" s="185"/>
      <c r="AT68" s="185"/>
      <c r="AU68" s="185"/>
      <c r="AV68" s="185"/>
    </row>
    <row r="69" spans="1:48" ht="12.75" hidden="1" customHeight="1">
      <c r="A69" s="357"/>
      <c r="B69" s="357"/>
      <c r="C69" s="8"/>
      <c r="D69" s="358"/>
      <c r="E69" s="358"/>
      <c r="F69" s="358"/>
      <c r="G69" s="359"/>
      <c r="H69" s="359"/>
      <c r="I69" s="359"/>
      <c r="J69" s="359"/>
      <c r="K69" s="207"/>
      <c r="L69" s="207" t="s">
        <v>261</v>
      </c>
      <c r="M69" s="185">
        <f>0.2*M10</f>
        <v>400</v>
      </c>
      <c r="N69" s="185" t="e">
        <f>IF(M68&gt;M69,"Column to Small","Column Size Okay")</f>
        <v>#N/A</v>
      </c>
      <c r="O69" s="185"/>
      <c r="P69" s="207"/>
      <c r="Q69" s="175"/>
      <c r="R69" s="186" t="s">
        <v>262</v>
      </c>
      <c r="S69" s="397" t="e">
        <f>(1/2*M5)+0.5</f>
        <v>#N/A</v>
      </c>
      <c r="T69" s="207" t="s">
        <v>82</v>
      </c>
      <c r="U69" s="207"/>
      <c r="V69" s="207"/>
      <c r="W69" s="231"/>
      <c r="X69" s="211" t="s">
        <v>263</v>
      </c>
      <c r="Y69" s="186" t="e">
        <f>0.0007*M5*Q3</f>
        <v>#N/A</v>
      </c>
      <c r="Z69" s="266" t="s">
        <v>198</v>
      </c>
      <c r="AA69" s="207"/>
      <c r="AB69" s="207"/>
      <c r="AC69" s="207"/>
      <c r="AD69" s="296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231"/>
      <c r="AQ69" s="207"/>
      <c r="AR69" s="185"/>
      <c r="AS69" s="185"/>
      <c r="AT69" s="185"/>
      <c r="AU69" s="185"/>
      <c r="AV69" s="185"/>
    </row>
    <row r="70" spans="1:48" ht="12.75" hidden="1" customHeight="1">
      <c r="A70" s="357"/>
      <c r="B70" s="357"/>
      <c r="C70" s="8"/>
      <c r="D70" s="358"/>
      <c r="E70" s="358"/>
      <c r="F70" s="358"/>
      <c r="G70" s="359"/>
      <c r="H70" s="359"/>
      <c r="I70" s="359"/>
      <c r="J70" s="359"/>
      <c r="K70" s="207"/>
      <c r="L70" s="207" t="s">
        <v>264</v>
      </c>
      <c r="M70" s="185">
        <f>0.05*M10</f>
        <v>100</v>
      </c>
      <c r="N70" s="185" t="e">
        <f>IF(M68&gt;M70,"Column to Small","Column Size Okay")</f>
        <v>#N/A</v>
      </c>
      <c r="O70" s="185"/>
      <c r="P70" s="207"/>
      <c r="Q70" s="175"/>
      <c r="R70" s="186" t="s">
        <v>265</v>
      </c>
      <c r="S70" s="313" t="e">
        <f ca="1">((M55*S69)+(M55*S68))/12</f>
        <v>#N/A</v>
      </c>
      <c r="T70" s="207" t="s">
        <v>194</v>
      </c>
      <c r="U70" s="207"/>
      <c r="V70" s="207"/>
      <c r="W70" s="231"/>
      <c r="X70" s="211" t="s">
        <v>266</v>
      </c>
      <c r="Y70" s="186">
        <f>MIN(48,Q3/2)</f>
        <v>0</v>
      </c>
      <c r="Z70" s="266" t="s">
        <v>82</v>
      </c>
      <c r="AA70" s="207"/>
      <c r="AB70" s="207"/>
      <c r="AC70" s="207"/>
      <c r="AD70" s="296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231"/>
      <c r="AQ70" s="207"/>
      <c r="AR70" s="185"/>
      <c r="AS70" s="185"/>
      <c r="AT70" s="185"/>
      <c r="AU70" s="185"/>
      <c r="AV70" s="185"/>
    </row>
    <row r="71" spans="1:48" ht="12.75" hidden="1" customHeight="1">
      <c r="A71" s="357"/>
      <c r="B71" s="357"/>
      <c r="C71" s="8"/>
      <c r="D71" s="358"/>
      <c r="E71" s="358"/>
      <c r="F71" s="358"/>
      <c r="G71" s="359"/>
      <c r="H71" s="359"/>
      <c r="I71" s="359"/>
      <c r="J71" s="359"/>
      <c r="K71" s="185"/>
      <c r="L71" s="185"/>
      <c r="M71" s="185"/>
      <c r="N71" s="398" t="e">
        <f>IF(M67&gt;30,N70,N69)</f>
        <v>#N/A</v>
      </c>
      <c r="O71" s="399"/>
      <c r="P71" s="185"/>
      <c r="Q71" s="400"/>
      <c r="R71" s="401" t="s">
        <v>265</v>
      </c>
      <c r="S71" s="402" t="e">
        <f>IF(M67&gt;30,S70,0)</f>
        <v>#N/A</v>
      </c>
      <c r="T71" s="403" t="s">
        <v>194</v>
      </c>
      <c r="U71" s="185"/>
      <c r="V71" s="185"/>
      <c r="W71" s="188"/>
      <c r="X71" s="211" t="s">
        <v>267</v>
      </c>
      <c r="Y71" s="175" t="e">
        <f>IF(0.8*Y66&gt;Y60,0,Y60/0.8-Y66)</f>
        <v>#VALUE!</v>
      </c>
      <c r="Z71" s="175" t="s">
        <v>148</v>
      </c>
      <c r="AA71" s="175" t="s">
        <v>256</v>
      </c>
      <c r="AB71" s="185" t="e">
        <f>IF(Y71=0,"Not Req'd","Req'd")</f>
        <v>#VALUE!</v>
      </c>
      <c r="AC71" s="185"/>
      <c r="AD71" s="189"/>
      <c r="AE71" s="191"/>
      <c r="AF71" s="191"/>
      <c r="AG71" s="191"/>
      <c r="AH71" s="191"/>
      <c r="AI71" s="191"/>
      <c r="AJ71" s="191"/>
      <c r="AK71" s="191"/>
      <c r="AL71" s="191"/>
      <c r="AM71" s="191"/>
      <c r="AN71" s="191"/>
      <c r="AO71" s="191"/>
      <c r="AP71" s="188"/>
      <c r="AQ71" s="185"/>
      <c r="AR71" s="185"/>
      <c r="AS71" s="185"/>
      <c r="AT71" s="185"/>
      <c r="AU71" s="185"/>
      <c r="AV71" s="185"/>
    </row>
    <row r="72" spans="1:48" ht="12.75" hidden="1" customHeight="1">
      <c r="A72" s="357"/>
      <c r="B72" s="357"/>
      <c r="C72" s="8"/>
      <c r="D72" s="358"/>
      <c r="E72" s="358"/>
      <c r="F72" s="358"/>
      <c r="G72" s="359"/>
      <c r="H72" s="359"/>
      <c r="I72" s="359"/>
      <c r="J72" s="359"/>
      <c r="K72" s="185"/>
      <c r="L72" s="185"/>
      <c r="M72" s="185"/>
      <c r="N72" s="185"/>
      <c r="O72" s="185"/>
      <c r="P72" s="185"/>
      <c r="Q72" s="185"/>
      <c r="R72" s="185"/>
      <c r="S72" s="185"/>
      <c r="T72" s="185"/>
      <c r="U72" s="185"/>
      <c r="V72" s="185"/>
      <c r="W72" s="188"/>
      <c r="X72" s="175"/>
      <c r="Y72" s="175"/>
      <c r="Z72" s="175"/>
      <c r="AA72" s="185"/>
      <c r="AB72" s="185"/>
      <c r="AC72" s="185"/>
      <c r="AD72" s="189"/>
      <c r="AE72" s="191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88"/>
      <c r="AQ72" s="185"/>
      <c r="AR72" s="185"/>
      <c r="AS72" s="185"/>
      <c r="AT72" s="185"/>
      <c r="AU72" s="185"/>
      <c r="AV72" s="185"/>
    </row>
    <row r="73" spans="1:48" ht="12.75" hidden="1" customHeight="1">
      <c r="A73" s="357"/>
      <c r="B73" s="357"/>
      <c r="C73" s="8"/>
      <c r="D73" s="358"/>
      <c r="E73" s="358"/>
      <c r="F73" s="358"/>
      <c r="G73" s="359"/>
      <c r="H73" s="359"/>
      <c r="I73" s="359"/>
      <c r="J73" s="359"/>
      <c r="K73" s="405" t="s">
        <v>268</v>
      </c>
      <c r="L73" s="185"/>
      <c r="M73" s="185"/>
      <c r="N73" s="185"/>
      <c r="O73" s="185"/>
      <c r="P73" s="185"/>
      <c r="Q73" s="185"/>
      <c r="R73" s="185"/>
      <c r="S73" s="185"/>
      <c r="T73" s="185"/>
      <c r="U73" s="185"/>
      <c r="V73" s="185"/>
      <c r="W73" s="176"/>
      <c r="X73" s="406"/>
      <c r="Y73" s="407" t="s">
        <v>269</v>
      </c>
      <c r="Z73" s="201" t="s">
        <v>270</v>
      </c>
      <c r="AA73" s="407" t="s">
        <v>271</v>
      </c>
      <c r="AB73" s="201" t="s">
        <v>272</v>
      </c>
      <c r="AC73" s="185"/>
      <c r="AD73" s="178"/>
      <c r="AE73" s="191"/>
      <c r="AF73" s="191"/>
      <c r="AG73" s="191"/>
      <c r="AH73" s="191"/>
      <c r="AI73" s="191"/>
      <c r="AJ73" s="191"/>
      <c r="AK73" s="191"/>
      <c r="AL73" s="191"/>
      <c r="AM73" s="191"/>
      <c r="AN73" s="191"/>
      <c r="AO73" s="191"/>
      <c r="AP73" s="188"/>
      <c r="AQ73" s="185"/>
      <c r="AR73" s="185"/>
      <c r="AS73" s="185"/>
      <c r="AT73" s="185"/>
      <c r="AU73" s="185"/>
      <c r="AV73" s="185"/>
    </row>
    <row r="74" spans="1:48" ht="12.75" hidden="1" customHeight="1">
      <c r="A74" s="357"/>
      <c r="B74" s="357"/>
      <c r="C74" s="8"/>
      <c r="D74" s="358"/>
      <c r="E74" s="358"/>
      <c r="F74" s="358"/>
      <c r="G74" s="359"/>
      <c r="H74" s="359"/>
      <c r="I74" s="359"/>
      <c r="J74" s="359"/>
      <c r="K74" s="185"/>
      <c r="L74" s="185"/>
      <c r="M74" s="185"/>
      <c r="N74" s="185"/>
      <c r="O74" s="185"/>
      <c r="P74" s="185"/>
      <c r="Q74" s="185"/>
      <c r="R74" s="185"/>
      <c r="S74" s="185"/>
      <c r="T74" s="185"/>
      <c r="U74" s="185"/>
      <c r="V74" s="185"/>
      <c r="W74" s="176"/>
      <c r="X74" s="408" t="s">
        <v>222</v>
      </c>
      <c r="Y74" s="409">
        <v>0.11</v>
      </c>
      <c r="Z74" s="410" t="e">
        <f>IF(Y71=0,"-",IF(Y74&gt;Y69,IF(Y71=0,"-",MIN(Y70,ROUNDDOWN(Y74*U10*Q3/(2*Y71/1000),0))),"-"))</f>
        <v>#VALUE!</v>
      </c>
      <c r="AA74" s="409">
        <v>0.22</v>
      </c>
      <c r="AB74" s="410" t="e">
        <f>IF(Y71=0,"-",IF(AA74&gt;Y69,IF(Y71=0,"-",MIN(Y70,ROUNDDOWN(AA74*U10*Q3/(2*Y71/1000),0))),"-"))</f>
        <v>#VALUE!</v>
      </c>
      <c r="AC74" s="411" t="s">
        <v>273</v>
      </c>
      <c r="AD74" s="178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88"/>
      <c r="AQ74" s="185"/>
      <c r="AR74" s="185"/>
      <c r="AS74" s="185"/>
      <c r="AT74" s="185"/>
      <c r="AU74" s="185"/>
      <c r="AV74" s="185"/>
    </row>
    <row r="75" spans="1:48" ht="12.75" hidden="1" customHeight="1">
      <c r="A75" s="357"/>
      <c r="B75" s="357"/>
      <c r="C75" s="8"/>
      <c r="D75" s="358"/>
      <c r="E75" s="358"/>
      <c r="F75" s="358"/>
      <c r="G75" s="359"/>
      <c r="H75" s="359"/>
      <c r="I75" s="359"/>
      <c r="J75" s="359"/>
      <c r="K75" s="185"/>
      <c r="L75" s="186" t="s">
        <v>274</v>
      </c>
      <c r="M75" s="265" t="e">
        <f ca="1">MAX(MAX(R28:R29),ABS(MIN(R28:R29)))+S71</f>
        <v>#N/A</v>
      </c>
      <c r="N75" s="185"/>
      <c r="O75" s="185"/>
      <c r="P75" s="185"/>
      <c r="Q75" s="185"/>
      <c r="R75" s="185"/>
      <c r="S75" s="185"/>
      <c r="T75" s="185"/>
      <c r="U75" s="185"/>
      <c r="V75" s="185"/>
      <c r="W75" s="176"/>
      <c r="X75" s="412" t="s">
        <v>223</v>
      </c>
      <c r="Y75" s="413">
        <v>0.2</v>
      </c>
      <c r="Z75" s="201" t="e">
        <f>IF(Y71=0,"-",IF(Y75&gt;Y69,IF(Y71=0,"-",MIN(Y70,ROUNDDOWN(Y75*U10*Q3/(2*Y71/1000),0))),"-"))</f>
        <v>#VALUE!</v>
      </c>
      <c r="AA75" s="413">
        <v>0.4</v>
      </c>
      <c r="AB75" s="201" t="e">
        <f>IF(Y71=0,"-",IF(AA75&gt;Y69,IF(Y71=0,"-",MIN(Y70,ROUNDDOWN(AA75*U10*Q3/(2*Y71/1000),0))),"-"))</f>
        <v>#VALUE!</v>
      </c>
      <c r="AC75" s="189" t="s">
        <v>273</v>
      </c>
      <c r="AD75" s="178"/>
      <c r="AE75" s="191"/>
      <c r="AF75" s="191"/>
      <c r="AG75" s="191"/>
      <c r="AH75" s="191"/>
      <c r="AI75" s="191"/>
      <c r="AJ75" s="191"/>
      <c r="AK75" s="191"/>
      <c r="AL75" s="191"/>
      <c r="AM75" s="191"/>
      <c r="AN75" s="191"/>
      <c r="AO75" s="191"/>
      <c r="AP75" s="188"/>
      <c r="AQ75" s="185"/>
      <c r="AR75" s="185"/>
      <c r="AS75" s="185"/>
      <c r="AT75" s="185"/>
      <c r="AU75" s="185"/>
      <c r="AV75" s="185"/>
    </row>
    <row r="76" spans="1:48" ht="12.75" hidden="1" customHeight="1">
      <c r="A76" s="357"/>
      <c r="B76" s="357"/>
      <c r="C76" s="8"/>
      <c r="D76" s="358"/>
      <c r="E76" s="358"/>
      <c r="F76" s="358"/>
      <c r="G76" s="359"/>
      <c r="H76" s="359"/>
      <c r="I76" s="359"/>
      <c r="J76" s="359"/>
      <c r="K76" s="185"/>
      <c r="L76" s="186" t="s">
        <v>275</v>
      </c>
      <c r="M76" s="265" t="e">
        <f ca="1">R30</f>
        <v>#N/A</v>
      </c>
      <c r="N76" s="185"/>
      <c r="O76" s="185"/>
      <c r="P76" s="185"/>
      <c r="Q76" s="185"/>
      <c r="R76" s="185"/>
      <c r="S76" s="185"/>
      <c r="T76" s="185"/>
      <c r="U76" s="185"/>
      <c r="V76" s="185"/>
      <c r="W76" s="176"/>
      <c r="X76" s="414" t="s">
        <v>225</v>
      </c>
      <c r="Y76" s="415">
        <v>0.31</v>
      </c>
      <c r="Z76" s="339" t="e">
        <f>IF(Y71=0,"-",IF(Y76&gt;Y69,IF(Y71=0,"-",MIN(Y70,ROUNDDOWN(Y76*U10*Q3/(2*Y71/1000),0))),"-"))</f>
        <v>#VALUE!</v>
      </c>
      <c r="AA76" s="415">
        <v>0.62</v>
      </c>
      <c r="AB76" s="339" t="e">
        <f>IF(Y71=0,"-",IF(AA76&gt;Y69,IF(Y71=0,"-",MIN(Y70,ROUNDDOWN(AA76*U10*Q3/(2*Y71/1000),0))),"-"))</f>
        <v>#VALUE!</v>
      </c>
      <c r="AC76" s="368" t="s">
        <v>273</v>
      </c>
      <c r="AD76" s="178"/>
      <c r="AE76" s="191"/>
      <c r="AF76" s="191"/>
      <c r="AG76" s="191"/>
      <c r="AH76" s="191"/>
      <c r="AI76" s="191"/>
      <c r="AJ76" s="191"/>
      <c r="AK76" s="191"/>
      <c r="AL76" s="191"/>
      <c r="AM76" s="191"/>
      <c r="AN76" s="191"/>
      <c r="AO76" s="191"/>
      <c r="AP76" s="188"/>
      <c r="AQ76" s="185"/>
      <c r="AR76" s="185"/>
      <c r="AS76" s="185"/>
      <c r="AT76" s="185"/>
      <c r="AU76" s="185"/>
      <c r="AV76" s="185"/>
    </row>
    <row r="77" spans="1:48" ht="12.75" hidden="1" customHeight="1">
      <c r="A77" s="357"/>
      <c r="B77" s="357"/>
      <c r="C77" s="8"/>
      <c r="D77" s="358"/>
      <c r="E77" s="358"/>
      <c r="F77" s="358"/>
      <c r="G77" s="359"/>
      <c r="H77" s="359"/>
      <c r="I77" s="359"/>
      <c r="J77" s="359"/>
      <c r="K77" s="185"/>
      <c r="L77" s="186" t="s">
        <v>276</v>
      </c>
      <c r="M77" s="356" t="e">
        <f ca="1">M75/(M76*M5)</f>
        <v>#N/A</v>
      </c>
      <c r="N77" s="185"/>
      <c r="O77" s="185"/>
      <c r="P77" s="185"/>
      <c r="Q77" s="185"/>
      <c r="R77" s="185"/>
      <c r="S77" s="185"/>
      <c r="T77" s="185"/>
      <c r="U77" s="185"/>
      <c r="V77" s="185"/>
      <c r="W77" s="416"/>
      <c r="X77" s="185"/>
      <c r="Y77" s="185"/>
      <c r="Z77" s="185"/>
      <c r="AA77" s="185"/>
      <c r="AB77" s="185"/>
      <c r="AC77" s="185"/>
      <c r="AD77" s="189"/>
      <c r="AE77" s="191"/>
      <c r="AF77" s="191"/>
      <c r="AG77" s="191"/>
      <c r="AH77" s="191"/>
      <c r="AI77" s="191"/>
      <c r="AJ77" s="191"/>
      <c r="AK77" s="191"/>
      <c r="AL77" s="191"/>
      <c r="AM77" s="191"/>
      <c r="AN77" s="191"/>
      <c r="AO77" s="191"/>
      <c r="AP77" s="188"/>
      <c r="AQ77" s="185"/>
      <c r="AR77" s="185"/>
      <c r="AS77" s="185"/>
      <c r="AT77" s="185"/>
      <c r="AU77" s="185"/>
      <c r="AV77" s="185"/>
    </row>
    <row r="78" spans="1:48" ht="12.75" hidden="1" customHeight="1">
      <c r="A78" s="357"/>
      <c r="B78" s="357"/>
      <c r="C78" s="8"/>
      <c r="D78" s="358"/>
      <c r="E78" s="358"/>
      <c r="F78" s="358"/>
      <c r="G78" s="359"/>
      <c r="H78" s="359"/>
      <c r="I78" s="359"/>
      <c r="J78" s="359"/>
      <c r="K78" s="185"/>
      <c r="L78" s="186" t="s">
        <v>277</v>
      </c>
      <c r="M78" s="265" t="e">
        <f>6*M56*SQRT(M10)</f>
        <v>#N/A</v>
      </c>
      <c r="N78" s="185"/>
      <c r="O78" s="185"/>
      <c r="P78" s="185"/>
      <c r="Q78" s="185"/>
      <c r="R78" s="185"/>
      <c r="S78" s="185"/>
      <c r="T78" s="185"/>
      <c r="U78" s="185"/>
      <c r="V78" s="185"/>
      <c r="W78" s="176"/>
      <c r="X78" s="175"/>
      <c r="Y78" s="175"/>
      <c r="Z78" s="175"/>
      <c r="AA78" s="175"/>
      <c r="AB78" s="175"/>
      <c r="AC78" s="175"/>
      <c r="AD78" s="178"/>
      <c r="AE78" s="191"/>
      <c r="AF78" s="191"/>
      <c r="AG78" s="191"/>
      <c r="AH78" s="191"/>
      <c r="AI78" s="191"/>
      <c r="AJ78" s="191"/>
      <c r="AK78" s="191"/>
      <c r="AL78" s="191"/>
      <c r="AM78" s="191"/>
      <c r="AN78" s="191"/>
      <c r="AO78" s="191"/>
      <c r="AP78" s="188"/>
      <c r="AQ78" s="185"/>
      <c r="AR78" s="185"/>
      <c r="AS78" s="185"/>
      <c r="AT78" s="185"/>
      <c r="AU78" s="185"/>
      <c r="AV78" s="185"/>
    </row>
    <row r="79" spans="1:48" ht="12.75" hidden="1" customHeight="1">
      <c r="A79" s="357"/>
      <c r="B79" s="357"/>
      <c r="C79" s="8"/>
      <c r="D79" s="358"/>
      <c r="E79" s="358"/>
      <c r="F79" s="358"/>
      <c r="G79" s="359"/>
      <c r="H79" s="359"/>
      <c r="I79" s="359"/>
      <c r="J79" s="359"/>
      <c r="K79" s="185"/>
      <c r="L79" s="186" t="s">
        <v>278</v>
      </c>
      <c r="M79" s="265" t="e">
        <f ca="1">(M80-M78)/(0.75)*(M77-0.25)+M78</f>
        <v>#N/A</v>
      </c>
      <c r="N79" s="185"/>
      <c r="O79" s="185"/>
      <c r="P79" s="185"/>
      <c r="Q79" s="185"/>
      <c r="R79" s="185"/>
      <c r="S79" s="185"/>
      <c r="T79" s="185"/>
      <c r="U79" s="185"/>
      <c r="V79" s="185"/>
      <c r="W79" s="176"/>
      <c r="X79" s="378" t="s">
        <v>151</v>
      </c>
      <c r="Y79" s="417" t="e">
        <f>0.8*(Y71+Y66)</f>
        <v>#VALUE!</v>
      </c>
      <c r="Z79" s="396" t="s">
        <v>148</v>
      </c>
      <c r="AA79" s="185" t="s">
        <v>256</v>
      </c>
      <c r="AB79" s="185" t="e">
        <f>IF(Y79&gt;=Y60,"PASS","FAIL")</f>
        <v>#VALUE!</v>
      </c>
      <c r="AC79" s="175"/>
      <c r="AD79" s="178"/>
      <c r="AE79" s="191"/>
      <c r="AF79" s="191"/>
      <c r="AG79" s="191"/>
      <c r="AH79" s="191"/>
      <c r="AI79" s="191"/>
      <c r="AJ79" s="191"/>
      <c r="AK79" s="191"/>
      <c r="AL79" s="191"/>
      <c r="AM79" s="191"/>
      <c r="AN79" s="191"/>
      <c r="AO79" s="191"/>
      <c r="AP79" s="188"/>
      <c r="AQ79" s="185"/>
      <c r="AR79" s="185"/>
      <c r="AS79" s="185"/>
      <c r="AT79" s="185"/>
      <c r="AU79" s="185"/>
      <c r="AV79" s="185"/>
    </row>
    <row r="80" spans="1:48" ht="12.75" hidden="1" customHeight="1">
      <c r="A80" s="357"/>
      <c r="B80" s="357"/>
      <c r="C80" s="8"/>
      <c r="D80" s="358"/>
      <c r="E80" s="358"/>
      <c r="F80" s="358"/>
      <c r="G80" s="359"/>
      <c r="H80" s="359"/>
      <c r="I80" s="359"/>
      <c r="J80" s="359"/>
      <c r="K80" s="185"/>
      <c r="L80" s="186" t="s">
        <v>279</v>
      </c>
      <c r="M80" s="265" t="e">
        <f>4*M56*SQRT(M10)</f>
        <v>#N/A</v>
      </c>
      <c r="N80" s="185"/>
      <c r="O80" s="185"/>
      <c r="P80" s="185"/>
      <c r="Q80" s="185"/>
      <c r="R80" s="185"/>
      <c r="S80" s="185"/>
      <c r="T80" s="185"/>
      <c r="U80" s="185"/>
      <c r="V80" s="185"/>
      <c r="W80" s="176"/>
      <c r="X80" s="175"/>
      <c r="Y80" s="175"/>
      <c r="Z80" s="175"/>
      <c r="AA80" s="175"/>
      <c r="AB80" s="175"/>
      <c r="AC80" s="175"/>
      <c r="AD80" s="178"/>
      <c r="AE80" s="191"/>
      <c r="AF80" s="191"/>
      <c r="AG80" s="191"/>
      <c r="AH80" s="191"/>
      <c r="AI80" s="191"/>
      <c r="AJ80" s="191"/>
      <c r="AK80" s="191"/>
      <c r="AL80" s="191"/>
      <c r="AM80" s="191"/>
      <c r="AN80" s="191"/>
      <c r="AO80" s="191"/>
      <c r="AP80" s="188"/>
      <c r="AQ80" s="185"/>
      <c r="AR80" s="185"/>
      <c r="AS80" s="185"/>
      <c r="AT80" s="185"/>
      <c r="AU80" s="185"/>
      <c r="AV80" s="185"/>
    </row>
    <row r="81" spans="1:48" ht="12.75" hidden="1" customHeight="1">
      <c r="A81" s="357"/>
      <c r="B81" s="357"/>
      <c r="C81" s="8"/>
      <c r="D81" s="358"/>
      <c r="E81" s="358"/>
      <c r="F81" s="358"/>
      <c r="G81" s="359"/>
      <c r="H81" s="359"/>
      <c r="I81" s="359"/>
      <c r="J81" s="359"/>
      <c r="K81" s="185"/>
      <c r="L81" s="418" t="s">
        <v>280</v>
      </c>
      <c r="M81" s="419" t="e">
        <f ca="1">IF(M77&lt;=0.25,M78,IF(M77&lt;=1,M79,M80))</f>
        <v>#N/A</v>
      </c>
      <c r="N81" s="185"/>
      <c r="O81" s="185"/>
      <c r="P81" s="185"/>
      <c r="Q81" s="185"/>
      <c r="R81" s="185"/>
      <c r="S81" s="185"/>
      <c r="T81" s="185"/>
      <c r="U81" s="185"/>
      <c r="V81" s="185"/>
      <c r="W81" s="420" t="s">
        <v>281</v>
      </c>
      <c r="X81" s="185"/>
      <c r="Y81" s="185"/>
      <c r="Z81" s="185"/>
      <c r="AA81" s="185"/>
      <c r="AB81" s="185"/>
      <c r="AC81" s="185"/>
      <c r="AD81" s="189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88"/>
      <c r="AQ81" s="185"/>
      <c r="AR81" s="185"/>
      <c r="AS81" s="185"/>
      <c r="AT81" s="185"/>
      <c r="AU81" s="185"/>
      <c r="AV81" s="185"/>
    </row>
    <row r="82" spans="1:48" ht="12.75" hidden="1" customHeight="1">
      <c r="A82" s="357"/>
      <c r="B82" s="357"/>
      <c r="C82" s="8"/>
      <c r="D82" s="358"/>
      <c r="E82" s="358"/>
      <c r="F82" s="358"/>
      <c r="G82" s="359"/>
      <c r="H82" s="359"/>
      <c r="I82" s="359"/>
      <c r="J82" s="359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8"/>
      <c r="X82" s="186" t="s">
        <v>204</v>
      </c>
      <c r="Y82" s="421">
        <f>Q3-4*Q6</f>
        <v>0</v>
      </c>
      <c r="Z82" s="185" t="s">
        <v>82</v>
      </c>
      <c r="AA82" s="185"/>
      <c r="AB82" s="185"/>
      <c r="AC82" s="185"/>
      <c r="AD82" s="189"/>
      <c r="AE82" s="191"/>
      <c r="AF82" s="191"/>
      <c r="AG82" s="191"/>
      <c r="AH82" s="191"/>
      <c r="AI82" s="191"/>
      <c r="AJ82" s="191"/>
      <c r="AK82" s="191"/>
      <c r="AL82" s="191"/>
      <c r="AM82" s="191"/>
      <c r="AN82" s="191"/>
      <c r="AO82" s="191"/>
      <c r="AP82" s="188"/>
      <c r="AQ82" s="185"/>
      <c r="AR82" s="185"/>
      <c r="AS82" s="185"/>
      <c r="AT82" s="185"/>
      <c r="AU82" s="185"/>
      <c r="AV82" s="185"/>
    </row>
    <row r="83" spans="1:48" ht="12.75" hidden="1" customHeight="1">
      <c r="A83" s="357"/>
      <c r="B83" s="357"/>
      <c r="C83" s="8"/>
      <c r="D83" s="358"/>
      <c r="E83" s="358"/>
      <c r="F83" s="358"/>
      <c r="G83" s="359"/>
      <c r="H83" s="359"/>
      <c r="I83" s="359"/>
      <c r="J83" s="359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312"/>
      <c r="X83" s="211" t="s">
        <v>168</v>
      </c>
      <c r="Y83" s="186" t="e">
        <f>(VLOOKUP(Q5,X26:Y32,2,FALSE))*Q4</f>
        <v>#N/A</v>
      </c>
      <c r="Z83" s="266" t="s">
        <v>198</v>
      </c>
      <c r="AA83" s="185"/>
      <c r="AB83" s="185"/>
      <c r="AC83" s="185"/>
      <c r="AD83" s="189"/>
      <c r="AE83" s="191"/>
      <c r="AF83" s="191"/>
      <c r="AG83" s="191"/>
      <c r="AH83" s="191"/>
      <c r="AI83" s="191"/>
      <c r="AJ83" s="191"/>
      <c r="AK83" s="191"/>
      <c r="AL83" s="191"/>
      <c r="AM83" s="191"/>
      <c r="AN83" s="191"/>
      <c r="AO83" s="191"/>
      <c r="AP83" s="188"/>
      <c r="AQ83" s="185"/>
      <c r="AR83" s="185"/>
      <c r="AS83" s="185"/>
      <c r="AT83" s="185"/>
      <c r="AU83" s="185"/>
      <c r="AV83" s="185"/>
    </row>
    <row r="84" spans="1:48" ht="12.75" hidden="1" customHeight="1">
      <c r="A84" s="357"/>
      <c r="B84" s="357"/>
      <c r="C84" s="8"/>
      <c r="D84" s="358"/>
      <c r="E84" s="358"/>
      <c r="F84" s="358"/>
      <c r="G84" s="359"/>
      <c r="H84" s="359"/>
      <c r="I84" s="359"/>
      <c r="J84" s="359"/>
      <c r="K84" s="238" t="s">
        <v>282</v>
      </c>
      <c r="L84" s="185"/>
      <c r="M84" s="185"/>
      <c r="N84" s="185"/>
      <c r="O84" s="185"/>
      <c r="P84" s="185"/>
      <c r="Q84" s="185"/>
      <c r="R84" s="185"/>
      <c r="S84" s="185"/>
      <c r="T84" s="185"/>
      <c r="U84" s="185"/>
      <c r="V84" s="185"/>
      <c r="W84" s="312"/>
      <c r="X84" s="211" t="s">
        <v>283</v>
      </c>
      <c r="Y84" s="186">
        <f>U10*1000</f>
        <v>60000</v>
      </c>
      <c r="Z84" s="266" t="s">
        <v>119</v>
      </c>
      <c r="AA84" s="185"/>
      <c r="AB84" s="185"/>
      <c r="AC84" s="185"/>
      <c r="AD84" s="189"/>
      <c r="AE84" s="191"/>
      <c r="AF84" s="191"/>
      <c r="AG84" s="191"/>
      <c r="AH84" s="191"/>
      <c r="AI84" s="191"/>
      <c r="AJ84" s="191"/>
      <c r="AK84" s="191"/>
      <c r="AL84" s="191"/>
      <c r="AM84" s="191"/>
      <c r="AN84" s="191"/>
      <c r="AO84" s="191"/>
      <c r="AP84" s="188"/>
      <c r="AQ84" s="185"/>
      <c r="AR84" s="185"/>
      <c r="AS84" s="185"/>
      <c r="AT84" s="185"/>
      <c r="AU84" s="185"/>
      <c r="AV84" s="185"/>
    </row>
    <row r="85" spans="1:48" ht="12.75" hidden="1" customHeight="1">
      <c r="A85" s="357"/>
      <c r="B85" s="357"/>
      <c r="C85" s="8"/>
      <c r="D85" s="358"/>
      <c r="E85" s="358"/>
      <c r="F85" s="358"/>
      <c r="G85" s="359"/>
      <c r="H85" s="359"/>
      <c r="I85" s="359"/>
      <c r="J85" s="359"/>
      <c r="K85" s="185"/>
      <c r="L85" s="185" t="s">
        <v>135</v>
      </c>
      <c r="M85" s="185"/>
      <c r="N85" s="185" t="s">
        <v>136</v>
      </c>
      <c r="O85" s="185"/>
      <c r="P85" s="207" t="s">
        <v>284</v>
      </c>
      <c r="Q85" s="185" t="s">
        <v>137</v>
      </c>
      <c r="R85" s="185" t="s">
        <v>138</v>
      </c>
      <c r="S85" s="185"/>
      <c r="T85" s="185"/>
      <c r="U85" s="185"/>
      <c r="V85" s="185"/>
      <c r="W85" s="312"/>
      <c r="X85" s="211" t="s">
        <v>199</v>
      </c>
      <c r="Y85" s="320" t="e">
        <f>Y83*Y84/(0.8*M10*Q3)</f>
        <v>#N/A</v>
      </c>
      <c r="Z85" s="266" t="s">
        <v>82</v>
      </c>
      <c r="AA85" s="185"/>
      <c r="AB85" s="185"/>
      <c r="AC85" s="185"/>
      <c r="AD85" s="189"/>
      <c r="AE85" s="191"/>
      <c r="AF85" s="191"/>
      <c r="AG85" s="191"/>
      <c r="AH85" s="191"/>
      <c r="AI85" s="191"/>
      <c r="AJ85" s="191"/>
      <c r="AK85" s="191"/>
      <c r="AL85" s="191"/>
      <c r="AM85" s="191"/>
      <c r="AN85" s="191"/>
      <c r="AO85" s="191"/>
      <c r="AP85" s="188"/>
      <c r="AQ85" s="185"/>
      <c r="AR85" s="185"/>
      <c r="AS85" s="185"/>
      <c r="AT85" s="185"/>
      <c r="AU85" s="185"/>
      <c r="AV85" s="185"/>
    </row>
    <row r="86" spans="1:48" ht="12.75" hidden="1" customHeight="1">
      <c r="A86" s="357"/>
      <c r="B86" s="357"/>
      <c r="C86" s="8"/>
      <c r="D86" s="358"/>
      <c r="E86" s="358"/>
      <c r="F86" s="358"/>
      <c r="G86" s="359"/>
      <c r="H86" s="359"/>
      <c r="I86" s="359"/>
      <c r="J86" s="359"/>
      <c r="K86" s="185"/>
      <c r="L86" s="186" t="s">
        <v>181</v>
      </c>
      <c r="M86" s="265" t="e">
        <f ca="1">R28+S71</f>
        <v>#N/A</v>
      </c>
      <c r="N86" s="186" t="s">
        <v>143</v>
      </c>
      <c r="O86" s="265" t="e">
        <f>0.9*P35</f>
        <v>#N/A</v>
      </c>
      <c r="P86" s="293" t="e">
        <f t="shared" ref="P86:P89" ca="1" si="17">O86/M86</f>
        <v>#N/A</v>
      </c>
      <c r="Q86" s="185" t="e">
        <f t="shared" ref="Q86:Q89" ca="1" si="18">IF(P86&lt;1,"FAILS","PASS")</f>
        <v>#N/A</v>
      </c>
      <c r="R86" s="185" t="e">
        <f>Q34</f>
        <v>#N/A</v>
      </c>
      <c r="S86" s="185"/>
      <c r="T86" s="185"/>
      <c r="U86" s="185"/>
      <c r="V86" s="185"/>
      <c r="W86" s="312"/>
      <c r="X86" s="378" t="s">
        <v>143</v>
      </c>
      <c r="Y86" s="417" t="e">
        <f>0.9*(Y83*Y84*(Y82-Y85/2))/12</f>
        <v>#N/A</v>
      </c>
      <c r="Z86" s="396" t="s">
        <v>235</v>
      </c>
      <c r="AA86" s="185" t="s">
        <v>256</v>
      </c>
      <c r="AB86" s="185" t="e">
        <f>IF(Y86&gt;Y59,"PASS","FAIL")</f>
        <v>#N/A</v>
      </c>
      <c r="AC86" s="185"/>
      <c r="AD86" s="189"/>
      <c r="AE86" s="191"/>
      <c r="AF86" s="191"/>
      <c r="AG86" s="191"/>
      <c r="AH86" s="191"/>
      <c r="AI86" s="191"/>
      <c r="AJ86" s="191"/>
      <c r="AK86" s="191"/>
      <c r="AL86" s="191"/>
      <c r="AM86" s="191"/>
      <c r="AN86" s="191"/>
      <c r="AO86" s="191"/>
      <c r="AP86" s="188"/>
      <c r="AQ86" s="185"/>
      <c r="AR86" s="185"/>
      <c r="AS86" s="185"/>
      <c r="AT86" s="185"/>
      <c r="AU86" s="185"/>
      <c r="AV86" s="185"/>
    </row>
    <row r="87" spans="1:48" ht="12.75" hidden="1" customHeight="1">
      <c r="A87" s="357"/>
      <c r="B87" s="357"/>
      <c r="C87" s="8"/>
      <c r="D87" s="358"/>
      <c r="E87" s="358"/>
      <c r="F87" s="358"/>
      <c r="G87" s="359"/>
      <c r="H87" s="359"/>
      <c r="I87" s="359"/>
      <c r="J87" s="359"/>
      <c r="K87" s="185"/>
      <c r="L87" s="186" t="s">
        <v>183</v>
      </c>
      <c r="M87" s="265" t="e">
        <f ca="1">IF(R29=0,0.01,ABS(R29))</f>
        <v>#N/A</v>
      </c>
      <c r="N87" s="186" t="s">
        <v>143</v>
      </c>
      <c r="O87" s="265" t="e">
        <f>0.9*P35</f>
        <v>#N/A</v>
      </c>
      <c r="P87" s="293" t="e">
        <f t="shared" ca="1" si="17"/>
        <v>#N/A</v>
      </c>
      <c r="Q87" s="185" t="e">
        <f t="shared" ca="1" si="18"/>
        <v>#N/A</v>
      </c>
      <c r="R87" s="185" t="e">
        <f>Q34</f>
        <v>#N/A</v>
      </c>
      <c r="S87" s="185"/>
      <c r="T87" s="185"/>
      <c r="U87" s="185"/>
      <c r="V87" s="185"/>
      <c r="W87" s="312"/>
      <c r="X87" s="293"/>
      <c r="Y87" s="185"/>
      <c r="Z87" s="185"/>
      <c r="AA87" s="185"/>
      <c r="AB87" s="185"/>
      <c r="AC87" s="185"/>
      <c r="AD87" s="189"/>
      <c r="AE87" s="191"/>
      <c r="AF87" s="191"/>
      <c r="AG87" s="191"/>
      <c r="AH87" s="191"/>
      <c r="AI87" s="191"/>
      <c r="AJ87" s="191"/>
      <c r="AK87" s="191"/>
      <c r="AL87" s="191"/>
      <c r="AM87" s="191"/>
      <c r="AN87" s="191"/>
      <c r="AO87" s="191"/>
      <c r="AP87" s="188"/>
      <c r="AQ87" s="185"/>
      <c r="AR87" s="185"/>
      <c r="AS87" s="185"/>
      <c r="AT87" s="185"/>
      <c r="AU87" s="185"/>
      <c r="AV87" s="185"/>
    </row>
    <row r="88" spans="1:48" ht="12.75" hidden="1" customHeight="1">
      <c r="A88" s="357"/>
      <c r="B88" s="357"/>
      <c r="C88" s="8"/>
      <c r="D88" s="358"/>
      <c r="E88" s="358"/>
      <c r="F88" s="358"/>
      <c r="G88" s="359"/>
      <c r="H88" s="359"/>
      <c r="I88" s="359"/>
      <c r="J88" s="359"/>
      <c r="K88" s="185"/>
      <c r="L88" s="186" t="s">
        <v>150</v>
      </c>
      <c r="M88" s="265" t="e">
        <f ca="1">R30</f>
        <v>#N/A</v>
      </c>
      <c r="N88" s="186" t="s">
        <v>151</v>
      </c>
      <c r="O88" s="265" t="e">
        <f ca="1">0.8*M81</f>
        <v>#N/A</v>
      </c>
      <c r="P88" s="293" t="e">
        <f t="shared" ca="1" si="17"/>
        <v>#N/A</v>
      </c>
      <c r="Q88" s="185" t="e">
        <f t="shared" ca="1" si="18"/>
        <v>#N/A</v>
      </c>
      <c r="R88" s="185" t="s">
        <v>144</v>
      </c>
      <c r="S88" s="185"/>
      <c r="T88" s="185"/>
      <c r="U88" s="185"/>
      <c r="V88" s="185"/>
      <c r="W88" s="188" t="s">
        <v>285</v>
      </c>
      <c r="X88" s="185"/>
      <c r="Y88" s="185"/>
      <c r="Z88" s="185"/>
      <c r="AA88" s="185"/>
      <c r="AB88" s="185"/>
      <c r="AC88" s="185"/>
      <c r="AD88" s="189"/>
      <c r="AE88" s="191"/>
      <c r="AF88" s="191"/>
      <c r="AG88" s="191"/>
      <c r="AH88" s="191"/>
      <c r="AI88" s="191"/>
      <c r="AJ88" s="191"/>
      <c r="AK88" s="191"/>
      <c r="AL88" s="191"/>
      <c r="AM88" s="191"/>
      <c r="AN88" s="191"/>
      <c r="AO88" s="191"/>
      <c r="AP88" s="188"/>
      <c r="AQ88" s="185"/>
      <c r="AR88" s="185"/>
      <c r="AS88" s="185"/>
      <c r="AT88" s="185"/>
      <c r="AU88" s="185"/>
      <c r="AV88" s="185"/>
    </row>
    <row r="89" spans="1:48" ht="12.75" hidden="1" customHeight="1">
      <c r="A89" s="357"/>
      <c r="B89" s="357"/>
      <c r="C89" s="8"/>
      <c r="D89" s="358"/>
      <c r="E89" s="358"/>
      <c r="F89" s="358"/>
      <c r="G89" s="359"/>
      <c r="H89" s="359"/>
      <c r="I89" s="359"/>
      <c r="J89" s="359"/>
      <c r="K89" s="185"/>
      <c r="L89" s="186" t="s">
        <v>191</v>
      </c>
      <c r="M89" s="185" t="e">
        <f>M55</f>
        <v>#N/A</v>
      </c>
      <c r="N89" s="186" t="s">
        <v>192</v>
      </c>
      <c r="O89" s="265" t="e">
        <f>0.9*Q58</f>
        <v>#N/A</v>
      </c>
      <c r="P89" s="293" t="e">
        <f t="shared" si="17"/>
        <v>#N/A</v>
      </c>
      <c r="Q89" s="185" t="e">
        <f t="shared" si="18"/>
        <v>#N/A</v>
      </c>
      <c r="R89" s="185" t="e">
        <f>IF(M67&gt;30,"Includes Slender Provisons","No Slender Provisions")</f>
        <v>#N/A</v>
      </c>
      <c r="S89" s="185"/>
      <c r="T89" s="185"/>
      <c r="U89" s="185"/>
      <c r="V89" s="185"/>
      <c r="W89" s="188"/>
      <c r="X89" s="186" t="s">
        <v>286</v>
      </c>
      <c r="Y89" s="422">
        <v>200</v>
      </c>
      <c r="Z89" s="185" t="s">
        <v>119</v>
      </c>
      <c r="AA89" s="185"/>
      <c r="AB89" s="185"/>
      <c r="AC89" s="185"/>
      <c r="AD89" s="189"/>
      <c r="AE89" s="191"/>
      <c r="AF89" s="191"/>
      <c r="AG89" s="191"/>
      <c r="AH89" s="191"/>
      <c r="AI89" s="191"/>
      <c r="AJ89" s="191"/>
      <c r="AK89" s="191"/>
      <c r="AL89" s="191"/>
      <c r="AM89" s="191"/>
      <c r="AN89" s="191"/>
      <c r="AO89" s="191"/>
      <c r="AP89" s="188"/>
      <c r="AQ89" s="185"/>
      <c r="AR89" s="185"/>
      <c r="AS89" s="185"/>
      <c r="AT89" s="185"/>
      <c r="AU89" s="185"/>
      <c r="AV89" s="185"/>
    </row>
    <row r="90" spans="1:48" ht="12.75" hidden="1" customHeight="1">
      <c r="A90" s="357"/>
      <c r="B90" s="357"/>
      <c r="C90" s="8"/>
      <c r="D90" s="358"/>
      <c r="E90" s="358"/>
      <c r="F90" s="358"/>
      <c r="G90" s="359"/>
      <c r="H90" s="359"/>
      <c r="I90" s="359"/>
      <c r="J90" s="359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8"/>
      <c r="X90" s="186" t="s">
        <v>287</v>
      </c>
      <c r="Y90" s="265" t="e">
        <f>M5*(Q3^2)/6</f>
        <v>#N/A</v>
      </c>
      <c r="Z90" s="185" t="s">
        <v>288</v>
      </c>
      <c r="AA90" s="185"/>
      <c r="AB90" s="185"/>
      <c r="AC90" s="185"/>
      <c r="AD90" s="189"/>
      <c r="AE90" s="191"/>
      <c r="AF90" s="191"/>
      <c r="AG90" s="191"/>
      <c r="AH90" s="191"/>
      <c r="AI90" s="191"/>
      <c r="AJ90" s="191"/>
      <c r="AK90" s="191"/>
      <c r="AL90" s="191"/>
      <c r="AM90" s="191"/>
      <c r="AN90" s="191"/>
      <c r="AO90" s="191"/>
      <c r="AP90" s="188"/>
      <c r="AQ90" s="185"/>
      <c r="AR90" s="185"/>
      <c r="AS90" s="185"/>
      <c r="AT90" s="185"/>
      <c r="AU90" s="185"/>
      <c r="AV90" s="185"/>
    </row>
    <row r="91" spans="1:48" ht="12.75" hidden="1" customHeight="1">
      <c r="A91" s="357"/>
      <c r="B91" s="357"/>
      <c r="C91" s="8"/>
      <c r="D91" s="358"/>
      <c r="E91" s="358"/>
      <c r="F91" s="358"/>
      <c r="G91" s="359"/>
      <c r="H91" s="359"/>
      <c r="I91" s="359"/>
      <c r="J91" s="359"/>
      <c r="K91" s="423" t="s">
        <v>289</v>
      </c>
      <c r="L91" s="424"/>
      <c r="M91" s="424"/>
      <c r="N91" s="424"/>
      <c r="O91" s="424"/>
      <c r="P91" s="424"/>
      <c r="Q91" s="424"/>
      <c r="R91" s="424"/>
      <c r="S91" s="424"/>
      <c r="T91" s="185"/>
      <c r="U91" s="185"/>
      <c r="V91" s="185"/>
      <c r="W91" s="188"/>
      <c r="X91" s="186" t="s">
        <v>290</v>
      </c>
      <c r="Y91" s="265" t="e">
        <f>Y89*Y90/12</f>
        <v>#N/A</v>
      </c>
      <c r="Z91" s="185" t="s">
        <v>235</v>
      </c>
      <c r="AA91" s="185" t="s">
        <v>256</v>
      </c>
      <c r="AB91" s="185" t="e">
        <f>IF(Y86/0.9&gt;=1.3*Y91,"PASS","FAIL")</f>
        <v>#N/A</v>
      </c>
      <c r="AC91" s="185" t="e">
        <f>IF(AB91="Pass","---","Increase reinforcing or depth")</f>
        <v>#N/A</v>
      </c>
      <c r="AD91" s="189"/>
      <c r="AE91" s="191"/>
      <c r="AF91" s="191"/>
      <c r="AG91" s="191"/>
      <c r="AH91" s="191"/>
      <c r="AI91" s="191"/>
      <c r="AJ91" s="191"/>
      <c r="AK91" s="191"/>
      <c r="AL91" s="191"/>
      <c r="AM91" s="191"/>
      <c r="AN91" s="191"/>
      <c r="AO91" s="191"/>
      <c r="AP91" s="188"/>
      <c r="AQ91" s="185"/>
      <c r="AR91" s="185"/>
      <c r="AS91" s="185"/>
      <c r="AT91" s="185"/>
      <c r="AU91" s="185"/>
      <c r="AV91" s="185"/>
    </row>
    <row r="92" spans="1:48" ht="12.75" hidden="1" customHeight="1">
      <c r="A92" s="357"/>
      <c r="B92" s="357"/>
      <c r="C92" s="8"/>
      <c r="D92" s="358"/>
      <c r="E92" s="358"/>
      <c r="F92" s="358"/>
      <c r="G92" s="359"/>
      <c r="H92" s="359"/>
      <c r="I92" s="359"/>
      <c r="J92" s="359"/>
      <c r="K92" s="373"/>
      <c r="L92" s="425" t="s">
        <v>291</v>
      </c>
      <c r="M92" s="426"/>
      <c r="N92" s="427"/>
      <c r="O92" s="427"/>
      <c r="P92" s="427"/>
      <c r="Q92" s="428"/>
      <c r="R92" s="428"/>
      <c r="S92" s="428"/>
      <c r="T92" s="185"/>
      <c r="U92" s="185"/>
      <c r="V92" s="185"/>
      <c r="W92" s="188"/>
      <c r="X92" s="185"/>
      <c r="Y92" s="185"/>
      <c r="Z92" s="185"/>
      <c r="AA92" s="185"/>
      <c r="AB92" s="185"/>
      <c r="AC92" s="185"/>
      <c r="AD92" s="189"/>
      <c r="AE92" s="191"/>
      <c r="AF92" s="191"/>
      <c r="AG92" s="191"/>
      <c r="AH92" s="191"/>
      <c r="AI92" s="191"/>
      <c r="AJ92" s="191"/>
      <c r="AK92" s="191"/>
      <c r="AL92" s="191"/>
      <c r="AM92" s="191"/>
      <c r="AN92" s="191"/>
      <c r="AO92" s="191"/>
      <c r="AP92" s="188"/>
      <c r="AQ92" s="185"/>
      <c r="AR92" s="185"/>
      <c r="AS92" s="185"/>
      <c r="AT92" s="185"/>
      <c r="AU92" s="185"/>
      <c r="AV92" s="185"/>
    </row>
    <row r="93" spans="1:48" ht="12.75" hidden="1" customHeight="1">
      <c r="A93" s="357"/>
      <c r="B93" s="357"/>
      <c r="C93" s="8"/>
      <c r="D93" s="358"/>
      <c r="E93" s="358"/>
      <c r="F93" s="358"/>
      <c r="G93" s="359"/>
      <c r="H93" s="359"/>
      <c r="I93" s="359"/>
      <c r="J93" s="359"/>
      <c r="K93" s="373"/>
      <c r="L93" s="429" t="s">
        <v>292</v>
      </c>
      <c r="M93" s="426"/>
      <c r="N93" s="427"/>
      <c r="O93" s="427" t="s">
        <v>293</v>
      </c>
      <c r="P93" s="427"/>
      <c r="Q93" s="428"/>
      <c r="R93" s="428"/>
      <c r="S93" s="428"/>
      <c r="T93" s="185"/>
      <c r="U93" s="185"/>
      <c r="V93" s="185"/>
      <c r="W93" s="188" t="s">
        <v>294</v>
      </c>
      <c r="X93" s="185"/>
      <c r="Y93" s="185"/>
      <c r="Z93" s="185"/>
      <c r="AA93" s="185"/>
      <c r="AB93" s="185"/>
      <c r="AC93" s="185"/>
      <c r="AD93" s="189"/>
      <c r="AE93" s="191"/>
      <c r="AF93" s="191"/>
      <c r="AG93" s="191"/>
      <c r="AH93" s="191"/>
      <c r="AI93" s="191"/>
      <c r="AJ93" s="191"/>
      <c r="AK93" s="191"/>
      <c r="AL93" s="191"/>
      <c r="AM93" s="191"/>
      <c r="AN93" s="191"/>
      <c r="AO93" s="191"/>
      <c r="AP93" s="188"/>
      <c r="AQ93" s="185"/>
      <c r="AR93" s="185"/>
      <c r="AS93" s="185"/>
      <c r="AT93" s="185"/>
      <c r="AU93" s="185"/>
      <c r="AV93" s="185"/>
    </row>
    <row r="94" spans="1:48" ht="12.75" hidden="1" customHeight="1">
      <c r="A94" s="357"/>
      <c r="B94" s="357"/>
      <c r="C94" s="8"/>
      <c r="D94" s="358"/>
      <c r="E94" s="358"/>
      <c r="F94" s="358"/>
      <c r="G94" s="359"/>
      <c r="H94" s="359"/>
      <c r="I94" s="359"/>
      <c r="J94" s="359"/>
      <c r="K94" s="373"/>
      <c r="L94" s="429" t="s">
        <v>295</v>
      </c>
      <c r="M94" s="426" t="e">
        <f ca="1">S21+S22</f>
        <v>#N/A</v>
      </c>
      <c r="N94" s="427"/>
      <c r="O94" s="428" t="s">
        <v>295</v>
      </c>
      <c r="P94" s="427" t="e">
        <f>S19+S20</f>
        <v>#N/A</v>
      </c>
      <c r="Q94" s="428"/>
      <c r="R94" s="428"/>
      <c r="S94" s="428"/>
      <c r="T94" s="185"/>
      <c r="U94" s="185"/>
      <c r="V94" s="185"/>
      <c r="W94" s="188"/>
      <c r="X94" s="186" t="s">
        <v>167</v>
      </c>
      <c r="Y94" s="431" t="e">
        <f>0.64*M10/(U10*1000)*(0.0025/(1.5*U10/29000+0.0025))*M5*Q3</f>
        <v>#N/A</v>
      </c>
      <c r="Z94" s="185" t="s">
        <v>198</v>
      </c>
      <c r="AA94" s="185"/>
      <c r="AB94" s="185"/>
      <c r="AC94" s="185"/>
      <c r="AD94" s="189"/>
      <c r="AE94" s="191"/>
      <c r="AF94" s="191"/>
      <c r="AG94" s="191"/>
      <c r="AH94" s="191"/>
      <c r="AI94" s="191"/>
      <c r="AJ94" s="191"/>
      <c r="AK94" s="191"/>
      <c r="AL94" s="191"/>
      <c r="AM94" s="191"/>
      <c r="AN94" s="191"/>
      <c r="AO94" s="191"/>
      <c r="AP94" s="188"/>
      <c r="AQ94" s="185"/>
      <c r="AR94" s="185"/>
      <c r="AS94" s="185"/>
      <c r="AT94" s="185"/>
      <c r="AU94" s="185"/>
      <c r="AV94" s="185"/>
    </row>
    <row r="95" spans="1:48" ht="12.75" hidden="1" customHeight="1">
      <c r="A95" s="357"/>
      <c r="B95" s="357"/>
      <c r="C95" s="8"/>
      <c r="D95" s="358"/>
      <c r="E95" s="358"/>
      <c r="F95" s="358"/>
      <c r="G95" s="359"/>
      <c r="H95" s="359"/>
      <c r="I95" s="359"/>
      <c r="J95" s="359"/>
      <c r="K95" s="373"/>
      <c r="L95" s="429" t="s">
        <v>296</v>
      </c>
      <c r="M95" s="432">
        <f>M8</f>
        <v>-9.9999999999999995E-8</v>
      </c>
      <c r="N95" s="427"/>
      <c r="O95" s="428" t="s">
        <v>297</v>
      </c>
      <c r="P95" s="427" t="e">
        <f>S19+S20</f>
        <v>#N/A</v>
      </c>
      <c r="Q95" s="428"/>
      <c r="R95" s="428"/>
      <c r="S95" s="428"/>
      <c r="T95" s="185"/>
      <c r="U95" s="185"/>
      <c r="V95" s="185"/>
      <c r="W95" s="188"/>
      <c r="X95" s="185"/>
      <c r="Y95" s="185"/>
      <c r="Z95" s="185"/>
      <c r="AA95" s="185" t="s">
        <v>256</v>
      </c>
      <c r="AB95" s="185" t="e">
        <f>IF(Y83&lt;Y94,"PASS","FAIL")</f>
        <v>#N/A</v>
      </c>
      <c r="AC95" s="185" t="e">
        <f>IF(AB95="PASS","---","Reduce reinf or increase depth")</f>
        <v>#N/A</v>
      </c>
      <c r="AD95" s="189"/>
      <c r="AE95" s="191"/>
      <c r="AF95" s="191"/>
      <c r="AG95" s="191"/>
      <c r="AH95" s="191"/>
      <c r="AI95" s="191"/>
      <c r="AJ95" s="191"/>
      <c r="AK95" s="191"/>
      <c r="AL95" s="191"/>
      <c r="AM95" s="191"/>
      <c r="AN95" s="191"/>
      <c r="AO95" s="191"/>
      <c r="AP95" s="188"/>
      <c r="AQ95" s="185"/>
      <c r="AR95" s="185"/>
      <c r="AS95" s="185"/>
      <c r="AT95" s="185"/>
      <c r="AU95" s="185"/>
      <c r="AV95" s="185"/>
    </row>
    <row r="96" spans="1:48" ht="12.75" hidden="1" customHeight="1">
      <c r="A96" s="357"/>
      <c r="B96" s="357"/>
      <c r="C96" s="8"/>
      <c r="D96" s="358"/>
      <c r="E96" s="358"/>
      <c r="F96" s="358"/>
      <c r="G96" s="359"/>
      <c r="H96" s="359"/>
      <c r="I96" s="359"/>
      <c r="J96" s="359"/>
      <c r="K96" s="373"/>
      <c r="L96" s="429" t="s">
        <v>199</v>
      </c>
      <c r="M96" s="432">
        <f>M4-M8</f>
        <v>9.9999999999999995E-8</v>
      </c>
      <c r="N96" s="427"/>
      <c r="O96" s="427"/>
      <c r="P96" s="427"/>
      <c r="Q96" s="428"/>
      <c r="R96" s="428"/>
      <c r="S96" s="428"/>
      <c r="T96" s="185"/>
      <c r="U96" s="185"/>
      <c r="V96" s="185"/>
      <c r="W96" s="188"/>
      <c r="X96" s="185"/>
      <c r="Y96" s="185"/>
      <c r="Z96" s="185"/>
      <c r="AA96" s="185"/>
      <c r="AB96" s="185"/>
      <c r="AC96" s="185"/>
      <c r="AD96" s="189"/>
      <c r="AE96" s="191"/>
      <c r="AF96" s="191"/>
      <c r="AG96" s="191"/>
      <c r="AH96" s="191"/>
      <c r="AI96" s="191"/>
      <c r="AJ96" s="191"/>
      <c r="AK96" s="191"/>
      <c r="AL96" s="191"/>
      <c r="AM96" s="191"/>
      <c r="AN96" s="191"/>
      <c r="AO96" s="191"/>
      <c r="AP96" s="188"/>
      <c r="AQ96" s="185"/>
      <c r="AR96" s="185"/>
      <c r="AS96" s="185"/>
      <c r="AT96" s="185"/>
      <c r="AU96" s="185"/>
      <c r="AV96" s="185"/>
    </row>
    <row r="97" spans="1:48" ht="12.75" hidden="1" customHeight="1">
      <c r="A97" s="357"/>
      <c r="B97" s="357"/>
      <c r="C97" s="8"/>
      <c r="D97" s="358"/>
      <c r="E97" s="358"/>
      <c r="F97" s="358"/>
      <c r="G97" s="359"/>
      <c r="H97" s="359"/>
      <c r="I97" s="359"/>
      <c r="J97" s="359"/>
      <c r="K97" s="373"/>
      <c r="L97" s="429"/>
      <c r="M97" s="426"/>
      <c r="N97" s="427"/>
      <c r="O97" s="427"/>
      <c r="P97" s="427"/>
      <c r="Q97" s="428"/>
      <c r="R97" s="428"/>
      <c r="S97" s="428"/>
      <c r="T97" s="185"/>
      <c r="U97" s="185"/>
      <c r="V97" s="185"/>
      <c r="W97" s="420" t="s">
        <v>298</v>
      </c>
      <c r="X97" s="185"/>
      <c r="Y97" s="185" t="s">
        <v>299</v>
      </c>
      <c r="Z97" s="185"/>
      <c r="AA97" s="185"/>
      <c r="AB97" s="185"/>
      <c r="AC97" s="185"/>
      <c r="AD97" s="189"/>
      <c r="AE97" s="191"/>
      <c r="AF97" s="191"/>
      <c r="AG97" s="191"/>
      <c r="AH97" s="191"/>
      <c r="AI97" s="191"/>
      <c r="AJ97" s="191"/>
      <c r="AK97" s="191"/>
      <c r="AL97" s="191"/>
      <c r="AM97" s="191"/>
      <c r="AN97" s="191"/>
      <c r="AO97" s="191"/>
      <c r="AP97" s="188"/>
      <c r="AQ97" s="185"/>
      <c r="AR97" s="185"/>
      <c r="AS97" s="185"/>
      <c r="AT97" s="185"/>
      <c r="AU97" s="185"/>
      <c r="AV97" s="185"/>
    </row>
    <row r="98" spans="1:48" ht="12.75" hidden="1" customHeight="1">
      <c r="A98" s="357"/>
      <c r="B98" s="357"/>
      <c r="C98" s="8"/>
      <c r="D98" s="358"/>
      <c r="E98" s="358"/>
      <c r="F98" s="358"/>
      <c r="G98" s="359"/>
      <c r="H98" s="359"/>
      <c r="I98" s="359"/>
      <c r="J98" s="359"/>
      <c r="K98" s="373"/>
      <c r="L98" s="429" t="s">
        <v>300</v>
      </c>
      <c r="M98" s="433" t="e">
        <f ca="1">M94*($M$95+$M$96)^2/(2*$M$95)</f>
        <v>#N/A</v>
      </c>
      <c r="N98" s="427"/>
      <c r="O98" s="428" t="s">
        <v>300</v>
      </c>
      <c r="P98" s="433" t="e">
        <f>P94*($M$95+$M$96)^2/(2*$M$95)+P95*M96*(2*M95+M96)/(2*M95)</f>
        <v>#N/A</v>
      </c>
      <c r="Q98" s="428"/>
      <c r="R98" s="428"/>
      <c r="S98" s="428"/>
      <c r="T98" s="185"/>
      <c r="U98" s="185"/>
      <c r="V98" s="185"/>
      <c r="W98" s="188"/>
      <c r="X98" s="211" t="s">
        <v>301</v>
      </c>
      <c r="Y98" s="404">
        <f>29000000/(900*M10)</f>
        <v>16.111111111111111</v>
      </c>
      <c r="Z98" s="175"/>
      <c r="AA98" s="185"/>
      <c r="AB98" s="185"/>
      <c r="AC98" s="185"/>
      <c r="AD98" s="189"/>
      <c r="AE98" s="191"/>
      <c r="AF98" s="191"/>
      <c r="AG98" s="191"/>
      <c r="AH98" s="191"/>
      <c r="AI98" s="191"/>
      <c r="AJ98" s="191"/>
      <c r="AK98" s="191"/>
      <c r="AL98" s="191"/>
      <c r="AM98" s="191"/>
      <c r="AN98" s="191"/>
      <c r="AO98" s="191"/>
      <c r="AP98" s="188"/>
      <c r="AQ98" s="185"/>
      <c r="AR98" s="185"/>
      <c r="AS98" s="185"/>
      <c r="AT98" s="185"/>
      <c r="AU98" s="185"/>
      <c r="AV98" s="185"/>
    </row>
    <row r="99" spans="1:48" ht="12.75" hidden="1" customHeight="1">
      <c r="A99" s="357"/>
      <c r="B99" s="357"/>
      <c r="C99" s="8"/>
      <c r="D99" s="358"/>
      <c r="E99" s="358"/>
      <c r="F99" s="358"/>
      <c r="G99" s="359"/>
      <c r="H99" s="359"/>
      <c r="I99" s="359"/>
      <c r="J99" s="359"/>
      <c r="K99" s="373"/>
      <c r="L99" s="429" t="s">
        <v>302</v>
      </c>
      <c r="M99" s="433" t="e">
        <f ca="1">M94*($M$95^2-$M$96^2)/(2*$M$95)</f>
        <v>#N/A</v>
      </c>
      <c r="N99" s="427"/>
      <c r="O99" s="428" t="s">
        <v>302</v>
      </c>
      <c r="P99" s="433" t="e">
        <f>P94*($M$95^2-$M$96^2)/(2*$M$95)-P95*M96^2/(2*M95)</f>
        <v>#N/A</v>
      </c>
      <c r="Q99" s="428"/>
      <c r="R99" s="428"/>
      <c r="S99" s="428"/>
      <c r="T99" s="185"/>
      <c r="U99" s="185"/>
      <c r="V99" s="185"/>
      <c r="W99" s="188"/>
      <c r="X99" s="211" t="s">
        <v>303</v>
      </c>
      <c r="Y99" s="404" t="e">
        <f>Y82*SQRT(2*Y98*Y83/(M5*Y82)+(Y98*Y83/(M5*Y82))^2)-Y98*Y83/(M5*Y82)</f>
        <v>#N/A</v>
      </c>
      <c r="Z99" s="175"/>
      <c r="AA99" s="185"/>
      <c r="AB99" s="185"/>
      <c r="AC99" s="185"/>
      <c r="AD99" s="189"/>
      <c r="AE99" s="191"/>
      <c r="AF99" s="191"/>
      <c r="AG99" s="191"/>
      <c r="AH99" s="191"/>
      <c r="AI99" s="191"/>
      <c r="AJ99" s="191"/>
      <c r="AK99" s="191"/>
      <c r="AL99" s="191"/>
      <c r="AM99" s="191"/>
      <c r="AN99" s="191"/>
      <c r="AO99" s="191"/>
      <c r="AP99" s="188"/>
      <c r="AQ99" s="185"/>
      <c r="AR99" s="185"/>
      <c r="AS99" s="185"/>
      <c r="AT99" s="185"/>
      <c r="AU99" s="185"/>
      <c r="AV99" s="185"/>
    </row>
    <row r="100" spans="1:48" ht="12.75" hidden="1" customHeight="1">
      <c r="A100" s="357"/>
      <c r="B100" s="357"/>
      <c r="C100" s="8"/>
      <c r="D100" s="358"/>
      <c r="E100" s="358"/>
      <c r="F100" s="358"/>
      <c r="G100" s="359"/>
      <c r="H100" s="359"/>
      <c r="I100" s="359"/>
      <c r="J100" s="359"/>
      <c r="K100" s="373"/>
      <c r="L100" s="429" t="s">
        <v>304</v>
      </c>
      <c r="M100" s="433" t="e">
        <f ca="1">M94*(M95+M96)</f>
        <v>#N/A</v>
      </c>
      <c r="N100" s="427"/>
      <c r="O100" s="428" t="s">
        <v>304</v>
      </c>
      <c r="P100" s="434" t="e">
        <f>P94*(M95+M96)+P95*M96</f>
        <v>#N/A</v>
      </c>
      <c r="Q100" s="428"/>
      <c r="R100" s="428"/>
      <c r="S100" s="428"/>
      <c r="T100" s="185"/>
      <c r="U100" s="185"/>
      <c r="V100" s="185"/>
      <c r="W100" s="188"/>
      <c r="X100" s="185"/>
      <c r="Y100" s="185"/>
      <c r="Z100" s="185"/>
      <c r="AA100" s="185"/>
      <c r="AB100" s="185"/>
      <c r="AC100" s="185"/>
      <c r="AD100" s="189"/>
      <c r="AE100" s="191"/>
      <c r="AF100" s="191"/>
      <c r="AG100" s="191"/>
      <c r="AH100" s="191"/>
      <c r="AI100" s="191"/>
      <c r="AJ100" s="191"/>
      <c r="AK100" s="191"/>
      <c r="AL100" s="191"/>
      <c r="AM100" s="191"/>
      <c r="AN100" s="191"/>
      <c r="AO100" s="191"/>
      <c r="AP100" s="188"/>
      <c r="AQ100" s="185"/>
      <c r="AR100" s="185"/>
      <c r="AS100" s="185"/>
      <c r="AT100" s="185"/>
      <c r="AU100" s="185"/>
      <c r="AV100" s="185"/>
    </row>
    <row r="101" spans="1:48" ht="12.75" hidden="1" customHeight="1">
      <c r="A101" s="357"/>
      <c r="B101" s="357"/>
      <c r="C101" s="8"/>
      <c r="D101" s="358"/>
      <c r="E101" s="358"/>
      <c r="F101" s="358"/>
      <c r="G101" s="359"/>
      <c r="H101" s="359"/>
      <c r="I101" s="359"/>
      <c r="J101" s="359"/>
      <c r="K101" s="373"/>
      <c r="L101" s="435"/>
      <c r="M101" s="426"/>
      <c r="N101" s="427"/>
      <c r="O101" s="427"/>
      <c r="P101" s="427"/>
      <c r="Q101" s="428"/>
      <c r="R101" s="428"/>
      <c r="S101" s="428"/>
      <c r="T101" s="185"/>
      <c r="U101" s="185"/>
      <c r="V101" s="185"/>
      <c r="W101" s="188"/>
      <c r="X101" s="186" t="s">
        <v>305</v>
      </c>
      <c r="Y101" s="265" t="e">
        <f>M5*(Q3^3)/12</f>
        <v>#N/A</v>
      </c>
      <c r="Z101" s="185" t="s">
        <v>245</v>
      </c>
      <c r="AA101" s="185"/>
      <c r="AB101" s="185"/>
      <c r="AC101" s="185"/>
      <c r="AD101" s="189"/>
      <c r="AE101" s="191"/>
      <c r="AF101" s="191"/>
      <c r="AG101" s="191"/>
      <c r="AH101" s="191"/>
      <c r="AI101" s="191"/>
      <c r="AJ101" s="191"/>
      <c r="AK101" s="191"/>
      <c r="AL101" s="191"/>
      <c r="AM101" s="191"/>
      <c r="AN101" s="191"/>
      <c r="AO101" s="191"/>
      <c r="AP101" s="188"/>
      <c r="AQ101" s="185"/>
      <c r="AR101" s="185"/>
      <c r="AS101" s="185"/>
      <c r="AT101" s="185"/>
      <c r="AU101" s="185"/>
      <c r="AV101" s="185"/>
    </row>
    <row r="102" spans="1:48" ht="12.75" hidden="1" customHeight="1">
      <c r="A102" s="357"/>
      <c r="B102" s="357"/>
      <c r="C102" s="8"/>
      <c r="D102" s="358"/>
      <c r="E102" s="358"/>
      <c r="F102" s="358"/>
      <c r="G102" s="359"/>
      <c r="H102" s="359"/>
      <c r="I102" s="359"/>
      <c r="J102" s="359"/>
      <c r="K102" s="373"/>
      <c r="L102" s="436" t="s">
        <v>306</v>
      </c>
      <c r="M102" s="436" t="s">
        <v>94</v>
      </c>
      <c r="N102" s="437" t="s">
        <v>292</v>
      </c>
      <c r="O102" s="437" t="s">
        <v>307</v>
      </c>
      <c r="P102" s="437"/>
      <c r="Q102" s="437"/>
      <c r="R102" s="437"/>
      <c r="S102" s="428"/>
      <c r="T102" s="185"/>
      <c r="U102" s="185"/>
      <c r="V102" s="185"/>
      <c r="W102" s="188"/>
      <c r="X102" s="186" t="s">
        <v>308</v>
      </c>
      <c r="Y102" s="265" t="e">
        <f>M5*(Y99^3)/3+Y98*Y83*(Y82-Y99)^2</f>
        <v>#N/A</v>
      </c>
      <c r="Z102" s="185" t="s">
        <v>245</v>
      </c>
      <c r="AA102" s="185"/>
      <c r="AB102" s="185"/>
      <c r="AC102" s="185"/>
      <c r="AD102" s="189"/>
      <c r="AE102" s="191"/>
      <c r="AF102" s="191"/>
      <c r="AG102" s="191"/>
      <c r="AH102" s="191"/>
      <c r="AI102" s="191"/>
      <c r="AJ102" s="191"/>
      <c r="AK102" s="191"/>
      <c r="AL102" s="191"/>
      <c r="AM102" s="191"/>
      <c r="AN102" s="191"/>
      <c r="AO102" s="191"/>
      <c r="AP102" s="188"/>
      <c r="AQ102" s="185"/>
      <c r="AR102" s="185"/>
      <c r="AS102" s="185"/>
      <c r="AT102" s="185"/>
      <c r="AU102" s="185"/>
      <c r="AV102" s="185"/>
    </row>
    <row r="103" spans="1:48" ht="12.75" hidden="1" customHeight="1">
      <c r="A103" s="357"/>
      <c r="B103" s="357"/>
      <c r="C103" s="8"/>
      <c r="D103" s="358"/>
      <c r="E103" s="358"/>
      <c r="F103" s="358"/>
      <c r="G103" s="359"/>
      <c r="H103" s="359"/>
      <c r="I103" s="359"/>
      <c r="J103" s="359"/>
      <c r="K103" s="373"/>
      <c r="L103" s="436">
        <v>1</v>
      </c>
      <c r="M103" s="436">
        <v>0</v>
      </c>
      <c r="N103" s="437" t="e">
        <f ca="1">M99</f>
        <v>#N/A</v>
      </c>
      <c r="O103" s="437" t="e">
        <f>P99</f>
        <v>#N/A</v>
      </c>
      <c r="P103" s="437"/>
      <c r="Q103" s="437"/>
      <c r="R103" s="437"/>
      <c r="S103" s="428"/>
      <c r="T103" s="185"/>
      <c r="U103" s="185"/>
      <c r="V103" s="185"/>
      <c r="W103" s="188"/>
      <c r="X103" s="186" t="s">
        <v>309</v>
      </c>
      <c r="Y103" s="362" t="e">
        <f>(Y91/AB51)^3*Y101+(1-(Y91/AB51)^3)*Y102</f>
        <v>#N/A</v>
      </c>
      <c r="Z103" s="185" t="s">
        <v>245</v>
      </c>
      <c r="AA103" s="185"/>
      <c r="AB103" s="185"/>
      <c r="AC103" s="185"/>
      <c r="AD103" s="189"/>
      <c r="AE103" s="191"/>
      <c r="AF103" s="191"/>
      <c r="AG103" s="191"/>
      <c r="AH103" s="191"/>
      <c r="AI103" s="191"/>
      <c r="AJ103" s="191"/>
      <c r="AK103" s="191"/>
      <c r="AL103" s="191"/>
      <c r="AM103" s="191"/>
      <c r="AN103" s="191"/>
      <c r="AO103" s="191"/>
      <c r="AP103" s="188"/>
      <c r="AQ103" s="185"/>
      <c r="AR103" s="185"/>
      <c r="AS103" s="185"/>
      <c r="AT103" s="185"/>
      <c r="AU103" s="185"/>
      <c r="AV103" s="185"/>
    </row>
    <row r="104" spans="1:48" ht="12.75" hidden="1" customHeight="1">
      <c r="A104" s="357"/>
      <c r="B104" s="357"/>
      <c r="C104" s="8"/>
      <c r="D104" s="358"/>
      <c r="E104" s="358"/>
      <c r="F104" s="358"/>
      <c r="G104" s="359"/>
      <c r="H104" s="359"/>
      <c r="I104" s="359"/>
      <c r="J104" s="359"/>
      <c r="K104" s="373"/>
      <c r="L104" s="436">
        <v>2</v>
      </c>
      <c r="M104" s="438">
        <f>M95</f>
        <v>-9.9999999999999995E-8</v>
      </c>
      <c r="N104" s="437" t="e">
        <f ca="1">N103-M94*M95</f>
        <v>#N/A</v>
      </c>
      <c r="O104" s="437" t="e">
        <f>O103-P94*M95</f>
        <v>#N/A</v>
      </c>
      <c r="P104" s="437"/>
      <c r="Q104" s="437"/>
      <c r="R104" s="437"/>
      <c r="S104" s="428"/>
      <c r="T104" s="185"/>
      <c r="U104" s="185"/>
      <c r="V104" s="185"/>
      <c r="W104" s="188"/>
      <c r="X104" s="185"/>
      <c r="Y104" s="185"/>
      <c r="Z104" s="185"/>
      <c r="AA104" s="185"/>
      <c r="AB104" s="185"/>
      <c r="AC104" s="185"/>
      <c r="AD104" s="189"/>
      <c r="AE104" s="191"/>
      <c r="AF104" s="191"/>
      <c r="AG104" s="191"/>
      <c r="AH104" s="191"/>
      <c r="AI104" s="191"/>
      <c r="AJ104" s="191"/>
      <c r="AK104" s="191"/>
      <c r="AL104" s="191"/>
      <c r="AM104" s="191"/>
      <c r="AN104" s="191"/>
      <c r="AO104" s="191"/>
      <c r="AP104" s="188"/>
      <c r="AQ104" s="185"/>
      <c r="AR104" s="185"/>
      <c r="AS104" s="185"/>
      <c r="AT104" s="185"/>
      <c r="AU104" s="185"/>
      <c r="AV104" s="185"/>
    </row>
    <row r="105" spans="1:48" ht="12.75" hidden="1" customHeight="1">
      <c r="A105" s="357"/>
      <c r="B105" s="357"/>
      <c r="C105" s="8"/>
      <c r="D105" s="358"/>
      <c r="E105" s="358"/>
      <c r="F105" s="358"/>
      <c r="G105" s="359"/>
      <c r="H105" s="359"/>
      <c r="I105" s="359"/>
      <c r="J105" s="359"/>
      <c r="K105" s="373"/>
      <c r="L105" s="436">
        <v>3</v>
      </c>
      <c r="M105" s="438">
        <f>M95</f>
        <v>-9.9999999999999995E-8</v>
      </c>
      <c r="N105" s="437" t="e">
        <f ca="1">M94*M96</f>
        <v>#N/A</v>
      </c>
      <c r="O105" s="437" t="e">
        <f>P94*M96+P95*M96</f>
        <v>#N/A</v>
      </c>
      <c r="P105" s="437"/>
      <c r="Q105" s="437"/>
      <c r="R105" s="437"/>
      <c r="S105" s="428"/>
      <c r="T105" s="185"/>
      <c r="U105" s="185"/>
      <c r="V105" s="185"/>
      <c r="W105" s="188"/>
      <c r="X105" s="186" t="s">
        <v>163</v>
      </c>
      <c r="Y105" s="175">
        <f>M7*12/600</f>
        <v>0</v>
      </c>
      <c r="Z105" s="175" t="s">
        <v>82</v>
      </c>
      <c r="AA105" s="175"/>
      <c r="AB105" s="185"/>
      <c r="AC105" s="185"/>
      <c r="AD105" s="189"/>
      <c r="AE105" s="191"/>
      <c r="AF105" s="191"/>
      <c r="AG105" s="191"/>
      <c r="AH105" s="191"/>
      <c r="AI105" s="191"/>
      <c r="AJ105" s="191"/>
      <c r="AK105" s="191"/>
      <c r="AL105" s="191"/>
      <c r="AM105" s="191"/>
      <c r="AN105" s="191"/>
      <c r="AO105" s="191"/>
      <c r="AP105" s="188"/>
      <c r="AQ105" s="185"/>
      <c r="AR105" s="185"/>
      <c r="AS105" s="185"/>
      <c r="AT105" s="185"/>
      <c r="AU105" s="185"/>
      <c r="AV105" s="185"/>
    </row>
    <row r="106" spans="1:48" ht="12.75" hidden="1" customHeight="1">
      <c r="A106" s="357"/>
      <c r="B106" s="357"/>
      <c r="C106" s="8"/>
      <c r="D106" s="358"/>
      <c r="E106" s="358"/>
      <c r="F106" s="358"/>
      <c r="G106" s="359"/>
      <c r="H106" s="359"/>
      <c r="I106" s="359"/>
      <c r="J106" s="359"/>
      <c r="K106" s="373"/>
      <c r="L106" s="436">
        <v>4</v>
      </c>
      <c r="M106" s="438">
        <f>M95+M96</f>
        <v>0</v>
      </c>
      <c r="N106" s="437">
        <v>0</v>
      </c>
      <c r="O106" s="437">
        <v>0</v>
      </c>
      <c r="P106" s="437"/>
      <c r="Q106" s="437"/>
      <c r="R106" s="437"/>
      <c r="S106" s="428"/>
      <c r="T106" s="185"/>
      <c r="U106" s="185"/>
      <c r="V106" s="185"/>
      <c r="W106" s="188"/>
      <c r="X106" s="186" t="s">
        <v>162</v>
      </c>
      <c r="Y106" s="320" t="e">
        <f>(5*AB49/12*(M7*12)^4)/(384*900*M10*Y103)</f>
        <v>#VALUE!</v>
      </c>
      <c r="Z106" s="185" t="s">
        <v>82</v>
      </c>
      <c r="AA106" s="185" t="s">
        <v>256</v>
      </c>
      <c r="AB106" s="185" t="e">
        <f>IF(Y106&lt;Y105,"PASS","FAIL")</f>
        <v>#VALUE!</v>
      </c>
      <c r="AC106" s="185"/>
      <c r="AD106" s="189"/>
      <c r="AE106" s="191"/>
      <c r="AF106" s="191"/>
      <c r="AG106" s="191"/>
      <c r="AH106" s="191"/>
      <c r="AI106" s="191"/>
      <c r="AJ106" s="191"/>
      <c r="AK106" s="191"/>
      <c r="AL106" s="191"/>
      <c r="AM106" s="191"/>
      <c r="AN106" s="191"/>
      <c r="AO106" s="191"/>
      <c r="AP106" s="188"/>
      <c r="AQ106" s="185"/>
      <c r="AR106" s="185"/>
      <c r="AS106" s="185"/>
      <c r="AT106" s="185"/>
      <c r="AU106" s="185"/>
      <c r="AV106" s="185"/>
    </row>
    <row r="107" spans="1:48" ht="12.75" hidden="1" customHeight="1">
      <c r="A107" s="357"/>
      <c r="B107" s="357"/>
      <c r="C107" s="8"/>
      <c r="D107" s="358"/>
      <c r="E107" s="358"/>
      <c r="F107" s="358"/>
      <c r="G107" s="359"/>
      <c r="H107" s="359"/>
      <c r="I107" s="359"/>
      <c r="J107" s="359"/>
      <c r="K107" s="373"/>
      <c r="L107" s="436"/>
      <c r="M107" s="436"/>
      <c r="N107" s="437"/>
      <c r="O107" s="437"/>
      <c r="P107" s="437"/>
      <c r="Q107" s="437"/>
      <c r="R107" s="437"/>
      <c r="S107" s="428"/>
      <c r="T107" s="185"/>
      <c r="U107" s="185"/>
      <c r="V107" s="185"/>
      <c r="W107" s="188"/>
      <c r="X107" s="186" t="s">
        <v>310</v>
      </c>
      <c r="Y107" s="362" t="e">
        <f>Y40*12/Y106</f>
        <v>#VALUE!</v>
      </c>
      <c r="Z107" s="185"/>
      <c r="AA107" s="185"/>
      <c r="AB107" s="185"/>
      <c r="AC107" s="185"/>
      <c r="AD107" s="189"/>
      <c r="AE107" s="191"/>
      <c r="AF107" s="191"/>
      <c r="AG107" s="191"/>
      <c r="AH107" s="191"/>
      <c r="AI107" s="191"/>
      <c r="AJ107" s="191"/>
      <c r="AK107" s="191"/>
      <c r="AL107" s="191"/>
      <c r="AM107" s="191"/>
      <c r="AN107" s="191"/>
      <c r="AO107" s="191"/>
      <c r="AP107" s="188"/>
      <c r="AQ107" s="185"/>
      <c r="AR107" s="185"/>
      <c r="AS107" s="185"/>
      <c r="AT107" s="185"/>
      <c r="AU107" s="185"/>
      <c r="AV107" s="185"/>
    </row>
    <row r="108" spans="1:48" ht="12.75" hidden="1" customHeight="1">
      <c r="A108" s="357"/>
      <c r="B108" s="357"/>
      <c r="C108" s="8"/>
      <c r="D108" s="358"/>
      <c r="E108" s="358"/>
      <c r="F108" s="358"/>
      <c r="G108" s="359"/>
      <c r="H108" s="359"/>
      <c r="I108" s="359"/>
      <c r="J108" s="359"/>
      <c r="K108" s="373"/>
      <c r="L108" s="435" t="s">
        <v>311</v>
      </c>
      <c r="M108" s="436" t="s">
        <v>94</v>
      </c>
      <c r="N108" s="437" t="s">
        <v>292</v>
      </c>
      <c r="O108" s="437" t="s">
        <v>307</v>
      </c>
      <c r="P108" s="427"/>
      <c r="Q108" s="428"/>
      <c r="R108" s="428"/>
      <c r="S108" s="428"/>
      <c r="T108" s="185"/>
      <c r="U108" s="185"/>
      <c r="V108" s="185"/>
      <c r="W108" s="188"/>
      <c r="X108" s="185"/>
      <c r="Y108" s="185"/>
      <c r="Z108" s="185"/>
      <c r="AA108" s="185"/>
      <c r="AB108" s="185"/>
      <c r="AC108" s="185"/>
      <c r="AD108" s="189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88"/>
      <c r="AQ108" s="185"/>
      <c r="AR108" s="185"/>
      <c r="AS108" s="185"/>
      <c r="AT108" s="185"/>
      <c r="AU108" s="185"/>
      <c r="AV108" s="185"/>
    </row>
    <row r="109" spans="1:48" ht="12.75" hidden="1" customHeight="1">
      <c r="A109" s="357"/>
      <c r="B109" s="357"/>
      <c r="C109" s="8"/>
      <c r="D109" s="358"/>
      <c r="E109" s="358"/>
      <c r="F109" s="358"/>
      <c r="G109" s="359"/>
      <c r="H109" s="359"/>
      <c r="I109" s="359"/>
      <c r="J109" s="359"/>
      <c r="K109" s="439"/>
      <c r="L109" s="436" t="s">
        <v>312</v>
      </c>
      <c r="M109" s="438">
        <f>(M95/2)*(1-M96^2/M95^2)</f>
        <v>0</v>
      </c>
      <c r="N109" s="437" t="e">
        <f ca="1">M94*(M95+M96)^2*(M95-M96)^2/(8*M95^2)</f>
        <v>#N/A</v>
      </c>
      <c r="O109" s="437" t="e">
        <f>P94*(M95+M96)^2*(M95-M96)^2/(8*M95^2)-P95*M96^2*M109/(2*M95)</f>
        <v>#N/A</v>
      </c>
      <c r="P109" s="427"/>
      <c r="Q109" s="428"/>
      <c r="R109" s="428"/>
      <c r="S109" s="428"/>
      <c r="T109" s="439"/>
      <c r="U109" s="439"/>
      <c r="V109" s="439"/>
      <c r="W109" s="439"/>
      <c r="X109" s="439"/>
      <c r="Y109" s="439"/>
      <c r="Z109" s="439"/>
      <c r="AA109" s="439"/>
      <c r="AB109" s="439"/>
      <c r="AC109" s="439"/>
      <c r="AD109" s="439"/>
      <c r="AE109" s="439"/>
      <c r="AF109" s="439"/>
      <c r="AG109" s="439"/>
      <c r="AH109" s="439"/>
      <c r="AI109" s="439"/>
      <c r="AJ109" s="439"/>
      <c r="AK109" s="439"/>
      <c r="AL109" s="439"/>
      <c r="AM109" s="439"/>
      <c r="AN109" s="439"/>
      <c r="AO109" s="439"/>
      <c r="AP109" s="439"/>
      <c r="AQ109" s="439"/>
      <c r="AR109" s="439"/>
      <c r="AS109" s="439"/>
      <c r="AT109" s="439"/>
      <c r="AU109" s="439"/>
      <c r="AV109" s="439"/>
    </row>
    <row r="110" spans="1:48" ht="12.75" hidden="1" customHeight="1">
      <c r="A110" s="357"/>
      <c r="B110" s="357"/>
      <c r="C110" s="8"/>
      <c r="D110" s="358"/>
      <c r="E110" s="358"/>
      <c r="F110" s="358"/>
      <c r="G110" s="359"/>
      <c r="H110" s="359"/>
      <c r="I110" s="359"/>
      <c r="J110" s="359"/>
      <c r="K110" s="439"/>
      <c r="L110" s="436" t="s">
        <v>313</v>
      </c>
      <c r="M110" s="438">
        <f>M95</f>
        <v>-9.9999999999999995E-8</v>
      </c>
      <c r="N110" s="437" t="e">
        <f ca="1">-M94*M96^2/2</f>
        <v>#N/A</v>
      </c>
      <c r="O110" s="437" t="e">
        <f>-P94*M96^2/2-P95*M96^2/2</f>
        <v>#N/A</v>
      </c>
      <c r="P110" s="427"/>
      <c r="Q110" s="428"/>
      <c r="R110" s="428"/>
      <c r="S110" s="428"/>
      <c r="T110" s="439"/>
      <c r="U110" s="439"/>
      <c r="V110" s="439"/>
      <c r="W110" s="439"/>
      <c r="X110" s="439"/>
      <c r="Y110" s="439"/>
      <c r="Z110" s="439"/>
      <c r="AA110" s="439"/>
      <c r="AB110" s="439"/>
      <c r="AC110" s="439"/>
      <c r="AD110" s="439"/>
      <c r="AE110" s="439"/>
      <c r="AF110" s="439"/>
      <c r="AG110" s="439"/>
      <c r="AH110" s="439"/>
      <c r="AI110" s="439"/>
      <c r="AJ110" s="439"/>
      <c r="AK110" s="439"/>
      <c r="AL110" s="439"/>
      <c r="AM110" s="439"/>
      <c r="AN110" s="439"/>
      <c r="AO110" s="439"/>
      <c r="AP110" s="439"/>
      <c r="AQ110" s="439"/>
      <c r="AR110" s="439"/>
      <c r="AS110" s="439"/>
      <c r="AT110" s="439"/>
      <c r="AU110" s="439"/>
      <c r="AV110" s="439"/>
    </row>
    <row r="111" spans="1:48" ht="12.75" hidden="1" customHeight="1">
      <c r="A111" s="357"/>
      <c r="B111" s="357"/>
      <c r="C111" s="8"/>
      <c r="D111" s="358"/>
      <c r="E111" s="358"/>
      <c r="F111" s="358"/>
      <c r="G111" s="359"/>
      <c r="H111" s="359"/>
      <c r="I111" s="359"/>
      <c r="J111" s="359"/>
      <c r="K111" s="439"/>
      <c r="L111" s="435"/>
      <c r="M111" s="426"/>
      <c r="N111" s="427"/>
      <c r="O111" s="427"/>
      <c r="P111" s="427"/>
      <c r="Q111" s="428"/>
      <c r="R111" s="428"/>
      <c r="S111" s="428"/>
      <c r="T111" s="439"/>
      <c r="U111" s="439"/>
      <c r="V111" s="439"/>
      <c r="W111" s="439"/>
      <c r="X111" s="439"/>
      <c r="Y111" s="439"/>
      <c r="Z111" s="439"/>
      <c r="AA111" s="439"/>
      <c r="AB111" s="439"/>
      <c r="AC111" s="439"/>
      <c r="AD111" s="439"/>
      <c r="AE111" s="439"/>
      <c r="AF111" s="439"/>
      <c r="AG111" s="439"/>
      <c r="AH111" s="439"/>
      <c r="AI111" s="439"/>
      <c r="AJ111" s="439"/>
      <c r="AK111" s="439"/>
      <c r="AL111" s="439"/>
      <c r="AM111" s="439"/>
      <c r="AN111" s="439"/>
      <c r="AO111" s="439"/>
      <c r="AP111" s="439"/>
      <c r="AQ111" s="439"/>
      <c r="AR111" s="439"/>
      <c r="AS111" s="439"/>
      <c r="AT111" s="439"/>
      <c r="AU111" s="439"/>
      <c r="AV111" s="439"/>
    </row>
    <row r="112" spans="1:48" ht="12.75" hidden="1" customHeight="1">
      <c r="A112" s="357"/>
      <c r="B112" s="357"/>
      <c r="C112" s="8"/>
      <c r="D112" s="358"/>
      <c r="E112" s="358"/>
      <c r="F112" s="358"/>
      <c r="G112" s="359"/>
      <c r="H112" s="359"/>
      <c r="I112" s="359"/>
      <c r="J112" s="359"/>
      <c r="K112" s="439"/>
      <c r="L112" s="441"/>
      <c r="M112" s="442"/>
      <c r="N112" s="443"/>
      <c r="O112" s="443"/>
      <c r="P112" s="443"/>
      <c r="Q112" s="444"/>
      <c r="R112" s="444"/>
      <c r="S112" s="444"/>
      <c r="T112" s="439"/>
      <c r="U112" s="439"/>
      <c r="V112" s="439"/>
      <c r="W112" s="439"/>
      <c r="X112" s="439"/>
      <c r="Y112" s="439"/>
      <c r="Z112" s="439"/>
      <c r="AA112" s="439"/>
      <c r="AB112" s="439"/>
      <c r="AC112" s="439"/>
      <c r="AD112" s="439"/>
      <c r="AE112" s="439"/>
      <c r="AF112" s="439"/>
      <c r="AG112" s="439"/>
      <c r="AH112" s="439"/>
      <c r="AI112" s="439"/>
      <c r="AJ112" s="439"/>
      <c r="AK112" s="439"/>
      <c r="AL112" s="439"/>
      <c r="AM112" s="439"/>
      <c r="AN112" s="439"/>
      <c r="AO112" s="439"/>
      <c r="AP112" s="439"/>
      <c r="AQ112" s="439"/>
      <c r="AR112" s="439"/>
      <c r="AS112" s="439"/>
      <c r="AT112" s="439"/>
      <c r="AU112" s="439"/>
      <c r="AV112" s="439"/>
    </row>
    <row r="113" spans="1:48" ht="12.75" hidden="1" customHeight="1">
      <c r="A113" s="357"/>
      <c r="B113" s="357"/>
      <c r="C113" s="8"/>
      <c r="D113" s="358"/>
      <c r="E113" s="358"/>
      <c r="F113" s="358"/>
      <c r="G113" s="359"/>
      <c r="H113" s="359"/>
      <c r="I113" s="359"/>
      <c r="J113" s="359"/>
      <c r="K113" s="439"/>
      <c r="L113" s="425" t="s">
        <v>314</v>
      </c>
      <c r="M113" s="426"/>
      <c r="N113" s="427"/>
      <c r="O113" s="427"/>
      <c r="P113" s="427"/>
      <c r="Q113" s="428"/>
      <c r="R113" s="444"/>
      <c r="S113" s="444"/>
      <c r="T113" s="439"/>
      <c r="U113" s="439"/>
      <c r="V113" s="439"/>
      <c r="W113" s="439"/>
      <c r="X113" s="439"/>
      <c r="Y113" s="439"/>
      <c r="Z113" s="439"/>
      <c r="AA113" s="439"/>
      <c r="AB113" s="439"/>
      <c r="AC113" s="439"/>
      <c r="AD113" s="439"/>
      <c r="AE113" s="439"/>
      <c r="AF113" s="439"/>
      <c r="AG113" s="439"/>
      <c r="AH113" s="439"/>
      <c r="AI113" s="439"/>
      <c r="AJ113" s="439"/>
      <c r="AK113" s="439"/>
      <c r="AL113" s="439"/>
      <c r="AM113" s="439"/>
      <c r="AN113" s="439"/>
      <c r="AO113" s="439"/>
      <c r="AP113" s="439"/>
      <c r="AQ113" s="439"/>
      <c r="AR113" s="439"/>
      <c r="AS113" s="439"/>
      <c r="AT113" s="439"/>
      <c r="AU113" s="439"/>
      <c r="AV113" s="439"/>
    </row>
    <row r="114" spans="1:48" ht="12.75" hidden="1" customHeight="1">
      <c r="A114" s="357"/>
      <c r="B114" s="357"/>
      <c r="C114" s="8"/>
      <c r="D114" s="358"/>
      <c r="E114" s="358"/>
      <c r="F114" s="358"/>
      <c r="G114" s="359"/>
      <c r="H114" s="359"/>
      <c r="I114" s="359"/>
      <c r="J114" s="359"/>
      <c r="K114" s="439"/>
      <c r="L114" s="429" t="s">
        <v>292</v>
      </c>
      <c r="M114" s="426"/>
      <c r="N114" s="427"/>
      <c r="O114" s="427" t="s">
        <v>293</v>
      </c>
      <c r="P114" s="427"/>
      <c r="Q114" s="428"/>
      <c r="R114" s="444"/>
      <c r="S114" s="444"/>
      <c r="T114" s="439"/>
      <c r="U114" s="439"/>
      <c r="V114" s="439"/>
      <c r="W114" s="439"/>
      <c r="X114" s="439"/>
      <c r="Y114" s="439"/>
      <c r="Z114" s="439"/>
      <c r="AA114" s="439"/>
      <c r="AB114" s="439"/>
      <c r="AC114" s="439"/>
      <c r="AD114" s="439"/>
      <c r="AE114" s="439"/>
      <c r="AF114" s="439"/>
      <c r="AG114" s="439"/>
      <c r="AH114" s="439"/>
      <c r="AI114" s="439"/>
      <c r="AJ114" s="439"/>
      <c r="AK114" s="439"/>
      <c r="AL114" s="439"/>
      <c r="AM114" s="439"/>
      <c r="AN114" s="439"/>
      <c r="AO114" s="439"/>
      <c r="AP114" s="439"/>
      <c r="AQ114" s="439"/>
      <c r="AR114" s="439"/>
      <c r="AS114" s="439"/>
      <c r="AT114" s="439"/>
      <c r="AU114" s="439"/>
      <c r="AV114" s="439"/>
    </row>
    <row r="115" spans="1:48" ht="12.75" hidden="1" customHeight="1">
      <c r="A115" s="357"/>
      <c r="B115" s="357"/>
      <c r="C115" s="8"/>
      <c r="D115" s="358"/>
      <c r="E115" s="358"/>
      <c r="F115" s="358"/>
      <c r="G115" s="359"/>
      <c r="H115" s="359"/>
      <c r="I115" s="359"/>
      <c r="J115" s="359"/>
      <c r="K115" s="439"/>
      <c r="L115" s="429" t="s">
        <v>315</v>
      </c>
      <c r="M115" s="430" t="e">
        <f t="shared" ref="M115:M116" ca="1" si="19">S21</f>
        <v>#N/A</v>
      </c>
      <c r="N115" s="427"/>
      <c r="O115" s="428" t="s">
        <v>315</v>
      </c>
      <c r="P115" s="427" t="e">
        <f t="shared" ref="P115:P116" si="20">S19</f>
        <v>#N/A</v>
      </c>
      <c r="Q115" s="428"/>
      <c r="R115" s="444"/>
      <c r="S115" s="444"/>
      <c r="T115" s="439"/>
      <c r="U115" s="439"/>
      <c r="V115" s="439"/>
      <c r="W115" s="439"/>
      <c r="X115" s="439"/>
      <c r="Y115" s="439"/>
      <c r="Z115" s="439"/>
      <c r="AA115" s="439"/>
      <c r="AB115" s="439"/>
      <c r="AC115" s="439"/>
      <c r="AD115" s="439"/>
      <c r="AE115" s="439"/>
      <c r="AF115" s="439"/>
      <c r="AG115" s="439"/>
      <c r="AH115" s="439"/>
      <c r="AI115" s="439"/>
      <c r="AJ115" s="439"/>
      <c r="AK115" s="439"/>
      <c r="AL115" s="439"/>
      <c r="AM115" s="439"/>
      <c r="AN115" s="439"/>
      <c r="AO115" s="439"/>
      <c r="AP115" s="439"/>
      <c r="AQ115" s="439"/>
      <c r="AR115" s="439"/>
      <c r="AS115" s="439"/>
      <c r="AT115" s="439"/>
      <c r="AU115" s="439"/>
      <c r="AV115" s="439"/>
    </row>
    <row r="116" spans="1:48" ht="12.75" hidden="1" customHeight="1">
      <c r="A116" s="357"/>
      <c r="B116" s="357"/>
      <c r="C116" s="8"/>
      <c r="D116" s="358"/>
      <c r="E116" s="358"/>
      <c r="F116" s="358"/>
      <c r="G116" s="359"/>
      <c r="H116" s="359"/>
      <c r="I116" s="359"/>
      <c r="J116" s="359"/>
      <c r="K116" s="439"/>
      <c r="L116" s="429" t="s">
        <v>316</v>
      </c>
      <c r="M116" s="430" t="e">
        <f t="shared" ca="1" si="19"/>
        <v>#N/A</v>
      </c>
      <c r="N116" s="427"/>
      <c r="O116" s="428" t="s">
        <v>316</v>
      </c>
      <c r="P116" s="427">
        <f t="shared" si="20"/>
        <v>0</v>
      </c>
      <c r="Q116" s="428"/>
      <c r="R116" s="444"/>
      <c r="S116" s="444"/>
      <c r="T116" s="439"/>
      <c r="U116" s="439"/>
      <c r="V116" s="439"/>
      <c r="W116" s="439"/>
      <c r="X116" s="439"/>
      <c r="Y116" s="439"/>
      <c r="Z116" s="439"/>
      <c r="AA116" s="439"/>
      <c r="AB116" s="439"/>
      <c r="AC116" s="439"/>
      <c r="AD116" s="439"/>
      <c r="AE116" s="439"/>
      <c r="AF116" s="439"/>
      <c r="AG116" s="439"/>
      <c r="AH116" s="439"/>
      <c r="AI116" s="439"/>
      <c r="AJ116" s="439"/>
      <c r="AK116" s="439"/>
      <c r="AL116" s="439"/>
      <c r="AM116" s="439"/>
      <c r="AN116" s="439"/>
      <c r="AO116" s="439"/>
      <c r="AP116" s="439"/>
      <c r="AQ116" s="439"/>
      <c r="AR116" s="439"/>
      <c r="AS116" s="439"/>
      <c r="AT116" s="439"/>
      <c r="AU116" s="439"/>
      <c r="AV116" s="439"/>
    </row>
    <row r="117" spans="1:48" ht="12.75" hidden="1" customHeight="1">
      <c r="A117" s="357"/>
      <c r="B117" s="357"/>
      <c r="C117" s="8"/>
      <c r="D117" s="358"/>
      <c r="E117" s="358"/>
      <c r="F117" s="358"/>
      <c r="G117" s="359"/>
      <c r="H117" s="359"/>
      <c r="I117" s="359"/>
      <c r="J117" s="359"/>
      <c r="K117" s="439"/>
      <c r="L117" s="429" t="s">
        <v>296</v>
      </c>
      <c r="M117" s="432">
        <f>M8</f>
        <v>-9.9999999999999995E-8</v>
      </c>
      <c r="N117" s="427"/>
      <c r="O117" s="428" t="s">
        <v>317</v>
      </c>
      <c r="P117" s="427" t="e">
        <f>P95</f>
        <v>#N/A</v>
      </c>
      <c r="Q117" s="428"/>
      <c r="R117" s="444"/>
      <c r="S117" s="444"/>
      <c r="T117" s="439"/>
      <c r="U117" s="439"/>
      <c r="V117" s="439"/>
      <c r="W117" s="439"/>
      <c r="X117" s="439"/>
      <c r="Y117" s="439"/>
      <c r="Z117" s="439"/>
      <c r="AA117" s="439"/>
      <c r="AB117" s="439"/>
      <c r="AC117" s="439"/>
      <c r="AD117" s="439"/>
      <c r="AE117" s="439"/>
      <c r="AF117" s="439"/>
      <c r="AG117" s="439"/>
      <c r="AH117" s="439"/>
      <c r="AI117" s="439"/>
      <c r="AJ117" s="439"/>
      <c r="AK117" s="439"/>
      <c r="AL117" s="439"/>
      <c r="AM117" s="439"/>
      <c r="AN117" s="439"/>
      <c r="AO117" s="439"/>
      <c r="AP117" s="439"/>
      <c r="AQ117" s="439"/>
      <c r="AR117" s="439"/>
      <c r="AS117" s="439"/>
      <c r="AT117" s="439"/>
      <c r="AU117" s="439"/>
      <c r="AV117" s="439"/>
    </row>
    <row r="118" spans="1:48" ht="12.75" hidden="1" customHeight="1">
      <c r="A118" s="357"/>
      <c r="B118" s="357"/>
      <c r="C118" s="8"/>
      <c r="D118" s="358"/>
      <c r="E118" s="358"/>
      <c r="F118" s="358"/>
      <c r="G118" s="359"/>
      <c r="H118" s="359"/>
      <c r="I118" s="359"/>
      <c r="J118" s="359"/>
      <c r="K118" s="439"/>
      <c r="L118" s="429" t="s">
        <v>199</v>
      </c>
      <c r="M118" s="432">
        <f>M4-M8</f>
        <v>9.9999999999999995E-8</v>
      </c>
      <c r="N118" s="427"/>
      <c r="O118" s="427"/>
      <c r="P118" s="427"/>
      <c r="Q118" s="428"/>
      <c r="R118" s="444"/>
      <c r="S118" s="444"/>
      <c r="T118" s="439"/>
      <c r="U118" s="439"/>
      <c r="V118" s="439"/>
      <c r="W118" s="439"/>
      <c r="X118" s="439"/>
      <c r="Y118" s="439"/>
      <c r="Z118" s="439"/>
      <c r="AA118" s="439"/>
      <c r="AB118" s="439"/>
      <c r="AC118" s="439"/>
      <c r="AD118" s="439"/>
      <c r="AE118" s="439"/>
      <c r="AF118" s="439"/>
      <c r="AG118" s="439"/>
      <c r="AH118" s="439"/>
      <c r="AI118" s="439"/>
      <c r="AJ118" s="439"/>
      <c r="AK118" s="439"/>
      <c r="AL118" s="439"/>
      <c r="AM118" s="439"/>
      <c r="AN118" s="439"/>
      <c r="AO118" s="439"/>
      <c r="AP118" s="439"/>
      <c r="AQ118" s="439"/>
      <c r="AR118" s="439"/>
      <c r="AS118" s="439"/>
      <c r="AT118" s="439"/>
      <c r="AU118" s="439"/>
      <c r="AV118" s="439"/>
    </row>
    <row r="119" spans="1:48" ht="12.75" hidden="1" customHeight="1">
      <c r="A119" s="357"/>
      <c r="B119" s="357"/>
      <c r="C119" s="8"/>
      <c r="D119" s="358"/>
      <c r="E119" s="358"/>
      <c r="F119" s="358"/>
      <c r="G119" s="359"/>
      <c r="H119" s="359"/>
      <c r="I119" s="359"/>
      <c r="J119" s="359"/>
      <c r="K119" s="439"/>
      <c r="L119" s="429" t="s">
        <v>202</v>
      </c>
      <c r="M119" s="432">
        <f>M8-M6</f>
        <v>-9.9999999999999995E-8</v>
      </c>
      <c r="N119" s="445"/>
      <c r="O119" s="445"/>
      <c r="P119" s="445"/>
      <c r="Q119" s="428"/>
      <c r="R119" s="444"/>
      <c r="S119" s="444"/>
      <c r="T119" s="439"/>
      <c r="U119" s="439"/>
      <c r="V119" s="439"/>
      <c r="W119" s="439"/>
      <c r="X119" s="439"/>
      <c r="Y119" s="439"/>
      <c r="Z119" s="439"/>
      <c r="AA119" s="439"/>
      <c r="AB119" s="439"/>
      <c r="AC119" s="439"/>
      <c r="AD119" s="439"/>
      <c r="AE119" s="439"/>
      <c r="AF119" s="439"/>
      <c r="AG119" s="439"/>
      <c r="AH119" s="439"/>
      <c r="AI119" s="439"/>
      <c r="AJ119" s="439"/>
      <c r="AK119" s="439"/>
      <c r="AL119" s="439"/>
      <c r="AM119" s="439"/>
      <c r="AN119" s="439"/>
      <c r="AO119" s="439"/>
      <c r="AP119" s="439"/>
      <c r="AQ119" s="439"/>
      <c r="AR119" s="439"/>
      <c r="AS119" s="439"/>
      <c r="AT119" s="439"/>
      <c r="AU119" s="439"/>
      <c r="AV119" s="439"/>
    </row>
    <row r="120" spans="1:48" ht="12.75" hidden="1" customHeight="1">
      <c r="A120" s="357"/>
      <c r="B120" s="357"/>
      <c r="C120" s="8"/>
      <c r="D120" s="358"/>
      <c r="E120" s="358"/>
      <c r="F120" s="358"/>
      <c r="G120" s="359"/>
      <c r="H120" s="359"/>
      <c r="I120" s="359"/>
      <c r="J120" s="359"/>
      <c r="K120" s="439"/>
      <c r="L120" s="429" t="s">
        <v>208</v>
      </c>
      <c r="M120" s="432">
        <f>M118+M119</f>
        <v>0</v>
      </c>
      <c r="N120" s="445"/>
      <c r="O120" s="445"/>
      <c r="P120" s="445"/>
      <c r="Q120" s="428"/>
      <c r="R120" s="444"/>
      <c r="S120" s="444"/>
      <c r="T120" s="439"/>
      <c r="U120" s="439"/>
      <c r="V120" s="439"/>
      <c r="W120" s="439"/>
      <c r="X120" s="439"/>
      <c r="Y120" s="439"/>
      <c r="Z120" s="439"/>
      <c r="AA120" s="439"/>
      <c r="AB120" s="439"/>
      <c r="AC120" s="439"/>
      <c r="AD120" s="439"/>
      <c r="AE120" s="439"/>
      <c r="AF120" s="439"/>
      <c r="AG120" s="439"/>
      <c r="AH120" s="439"/>
      <c r="AI120" s="439"/>
      <c r="AJ120" s="439"/>
      <c r="AK120" s="439"/>
      <c r="AL120" s="439"/>
      <c r="AM120" s="439"/>
      <c r="AN120" s="439"/>
      <c r="AO120" s="439"/>
      <c r="AP120" s="439"/>
      <c r="AQ120" s="439"/>
      <c r="AR120" s="439"/>
      <c r="AS120" s="439"/>
      <c r="AT120" s="439"/>
      <c r="AU120" s="439"/>
      <c r="AV120" s="439"/>
    </row>
    <row r="121" spans="1:48" ht="12.75" hidden="1" customHeight="1">
      <c r="A121" s="357"/>
      <c r="B121" s="357"/>
      <c r="C121" s="8"/>
      <c r="D121" s="358"/>
      <c r="E121" s="358"/>
      <c r="F121" s="358"/>
      <c r="G121" s="359"/>
      <c r="H121" s="359"/>
      <c r="I121" s="359"/>
      <c r="J121" s="359"/>
      <c r="K121" s="439"/>
      <c r="L121" s="445"/>
      <c r="M121" s="445"/>
      <c r="N121" s="445"/>
      <c r="O121" s="445"/>
      <c r="P121" s="445"/>
      <c r="Q121" s="428"/>
      <c r="R121" s="444"/>
      <c r="S121" s="444"/>
      <c r="T121" s="439"/>
      <c r="U121" s="439"/>
      <c r="V121" s="439"/>
      <c r="W121" s="439"/>
      <c r="X121" s="439"/>
      <c r="Y121" s="439"/>
      <c r="Z121" s="439"/>
      <c r="AA121" s="439"/>
      <c r="AB121" s="439"/>
      <c r="AC121" s="439"/>
      <c r="AD121" s="439"/>
      <c r="AE121" s="439"/>
      <c r="AF121" s="439"/>
      <c r="AG121" s="439"/>
      <c r="AH121" s="439"/>
      <c r="AI121" s="439"/>
      <c r="AJ121" s="439"/>
      <c r="AK121" s="439"/>
      <c r="AL121" s="439"/>
      <c r="AM121" s="439"/>
      <c r="AN121" s="439"/>
      <c r="AO121" s="439"/>
      <c r="AP121" s="439"/>
      <c r="AQ121" s="439"/>
      <c r="AR121" s="439"/>
      <c r="AS121" s="439"/>
      <c r="AT121" s="439"/>
      <c r="AU121" s="439"/>
      <c r="AV121" s="439"/>
    </row>
    <row r="122" spans="1:48" ht="12.75" hidden="1" customHeight="1">
      <c r="A122" s="357"/>
      <c r="B122" s="357"/>
      <c r="C122" s="8"/>
      <c r="D122" s="358"/>
      <c r="E122" s="358"/>
      <c r="F122" s="358"/>
      <c r="G122" s="359"/>
      <c r="H122" s="359"/>
      <c r="I122" s="359"/>
      <c r="J122" s="359"/>
      <c r="K122" s="439"/>
      <c r="L122" s="429" t="s">
        <v>300</v>
      </c>
      <c r="M122" s="433" t="e">
        <f ca="1">(M115*($M$117+$M$118)^2/2+M116*$M$120*($M$117-$M$119+$M$120/2))/$M$117</f>
        <v>#N/A</v>
      </c>
      <c r="N122" s="427"/>
      <c r="O122" s="428" t="s">
        <v>300</v>
      </c>
      <c r="P122" s="433" t="e">
        <f>(P115*($M$117+$M$118)^2/2+P116*$M$120*($M$117-$M$119+$M$120/2)+P117*M118*(M117+M118/2))/$M$117</f>
        <v>#N/A</v>
      </c>
      <c r="Q122" s="428"/>
      <c r="R122" s="444"/>
      <c r="S122" s="444"/>
      <c r="T122" s="439"/>
      <c r="U122" s="439"/>
      <c r="V122" s="439"/>
      <c r="W122" s="439"/>
      <c r="X122" s="439"/>
      <c r="Y122" s="439"/>
      <c r="Z122" s="439"/>
      <c r="AA122" s="439"/>
      <c r="AB122" s="439"/>
      <c r="AC122" s="439"/>
      <c r="AD122" s="439"/>
      <c r="AE122" s="439"/>
      <c r="AF122" s="439"/>
      <c r="AG122" s="439"/>
      <c r="AH122" s="439"/>
      <c r="AI122" s="439"/>
      <c r="AJ122" s="439"/>
      <c r="AK122" s="439"/>
      <c r="AL122" s="439"/>
      <c r="AM122" s="439"/>
      <c r="AN122" s="439"/>
      <c r="AO122" s="439"/>
      <c r="AP122" s="439"/>
      <c r="AQ122" s="439"/>
      <c r="AR122" s="439"/>
      <c r="AS122" s="439"/>
      <c r="AT122" s="439"/>
      <c r="AU122" s="439"/>
      <c r="AV122" s="439"/>
    </row>
    <row r="123" spans="1:48" ht="12.75" hidden="1" customHeight="1">
      <c r="A123" s="357"/>
      <c r="B123" s="357"/>
      <c r="C123" s="8"/>
      <c r="D123" s="358"/>
      <c r="E123" s="358"/>
      <c r="F123" s="358"/>
      <c r="G123" s="359"/>
      <c r="H123" s="359"/>
      <c r="I123" s="359"/>
      <c r="J123" s="359"/>
      <c r="K123" s="439"/>
      <c r="L123" s="429" t="s">
        <v>302</v>
      </c>
      <c r="M123" s="433" t="e">
        <f ca="1">M124-M122</f>
        <v>#N/A</v>
      </c>
      <c r="N123" s="427" t="e">
        <f ca="1">(M115*(M117+M118)*(M117-(M117+M118)/2)-M116*M120*(M118-M120/2))/M117</f>
        <v>#N/A</v>
      </c>
      <c r="O123" s="428" t="s">
        <v>302</v>
      </c>
      <c r="P123" s="433" t="e">
        <f>P124-P122</f>
        <v>#N/A</v>
      </c>
      <c r="Q123" s="437"/>
      <c r="R123" s="444"/>
      <c r="S123" s="444"/>
      <c r="T123" s="439"/>
      <c r="U123" s="439"/>
      <c r="V123" s="439"/>
      <c r="W123" s="439"/>
      <c r="X123" s="439"/>
      <c r="Y123" s="439"/>
      <c r="Z123" s="439"/>
      <c r="AA123" s="439"/>
      <c r="AB123" s="439"/>
      <c r="AC123" s="439"/>
      <c r="AD123" s="439"/>
      <c r="AE123" s="439"/>
      <c r="AF123" s="439"/>
      <c r="AG123" s="439"/>
      <c r="AH123" s="439"/>
      <c r="AI123" s="439"/>
      <c r="AJ123" s="439"/>
      <c r="AK123" s="439"/>
      <c r="AL123" s="439"/>
      <c r="AM123" s="439"/>
      <c r="AN123" s="439"/>
      <c r="AO123" s="439"/>
      <c r="AP123" s="439"/>
      <c r="AQ123" s="439"/>
      <c r="AR123" s="439"/>
      <c r="AS123" s="439"/>
      <c r="AT123" s="439"/>
      <c r="AU123" s="439"/>
      <c r="AV123" s="439"/>
    </row>
    <row r="124" spans="1:48" ht="12.75" hidden="1" customHeight="1">
      <c r="A124" s="357"/>
      <c r="B124" s="357"/>
      <c r="C124" s="8"/>
      <c r="D124" s="358"/>
      <c r="E124" s="358"/>
      <c r="F124" s="358"/>
      <c r="G124" s="359"/>
      <c r="H124" s="359"/>
      <c r="I124" s="359"/>
      <c r="J124" s="359"/>
      <c r="K124" s="439"/>
      <c r="L124" s="429" t="s">
        <v>304</v>
      </c>
      <c r="M124" s="433" t="e">
        <f ca="1">M115*(M117+M118)+M116*M120</f>
        <v>#N/A</v>
      </c>
      <c r="N124" s="427"/>
      <c r="O124" s="428" t="s">
        <v>304</v>
      </c>
      <c r="P124" s="433" t="e">
        <f>P115*(M117+M118)+P116*M120+P117*M118</f>
        <v>#N/A</v>
      </c>
      <c r="Q124" s="437"/>
      <c r="R124" s="444"/>
      <c r="S124" s="444"/>
      <c r="T124" s="439"/>
      <c r="U124" s="439"/>
      <c r="V124" s="439"/>
      <c r="W124" s="439"/>
      <c r="X124" s="439"/>
      <c r="Y124" s="439"/>
      <c r="Z124" s="439"/>
      <c r="AA124" s="439"/>
      <c r="AB124" s="439"/>
      <c r="AC124" s="439"/>
      <c r="AD124" s="439"/>
      <c r="AE124" s="439"/>
      <c r="AF124" s="439"/>
      <c r="AG124" s="439"/>
      <c r="AH124" s="439"/>
      <c r="AI124" s="439"/>
      <c r="AJ124" s="439"/>
      <c r="AK124" s="439"/>
      <c r="AL124" s="439"/>
      <c r="AM124" s="439"/>
      <c r="AN124" s="439"/>
      <c r="AO124" s="439"/>
      <c r="AP124" s="439"/>
      <c r="AQ124" s="439"/>
      <c r="AR124" s="439"/>
      <c r="AS124" s="439"/>
      <c r="AT124" s="439"/>
      <c r="AU124" s="439"/>
      <c r="AV124" s="439"/>
    </row>
    <row r="125" spans="1:48" ht="12.75" hidden="1" customHeight="1">
      <c r="A125" s="357"/>
      <c r="B125" s="357"/>
      <c r="C125" s="8"/>
      <c r="D125" s="358"/>
      <c r="E125" s="358"/>
      <c r="F125" s="358"/>
      <c r="G125" s="359"/>
      <c r="H125" s="359"/>
      <c r="I125" s="359"/>
      <c r="J125" s="359"/>
      <c r="K125" s="439"/>
      <c r="L125" s="435"/>
      <c r="M125" s="426"/>
      <c r="N125" s="427"/>
      <c r="O125" s="427"/>
      <c r="P125" s="427"/>
      <c r="Q125" s="437"/>
      <c r="R125" s="444"/>
      <c r="S125" s="444"/>
      <c r="T125" s="439"/>
      <c r="U125" s="439"/>
      <c r="V125" s="439"/>
      <c r="W125" s="439"/>
      <c r="X125" s="439"/>
      <c r="Y125" s="439"/>
      <c r="Z125" s="439"/>
      <c r="AA125" s="439"/>
      <c r="AB125" s="439"/>
      <c r="AC125" s="439"/>
      <c r="AD125" s="439"/>
      <c r="AE125" s="439"/>
      <c r="AF125" s="439"/>
      <c r="AG125" s="439"/>
      <c r="AH125" s="439"/>
      <c r="AI125" s="439"/>
      <c r="AJ125" s="439"/>
      <c r="AK125" s="439"/>
      <c r="AL125" s="439"/>
      <c r="AM125" s="439"/>
      <c r="AN125" s="439"/>
      <c r="AO125" s="439"/>
      <c r="AP125" s="439"/>
      <c r="AQ125" s="439"/>
      <c r="AR125" s="439"/>
      <c r="AS125" s="439"/>
      <c r="AT125" s="439"/>
      <c r="AU125" s="439"/>
      <c r="AV125" s="439"/>
    </row>
    <row r="126" spans="1:48" ht="12.75" hidden="1" customHeight="1">
      <c r="A126" s="357"/>
      <c r="B126" s="357"/>
      <c r="C126" s="8"/>
      <c r="D126" s="358"/>
      <c r="E126" s="358"/>
      <c r="F126" s="358"/>
      <c r="G126" s="359"/>
      <c r="H126" s="359"/>
      <c r="I126" s="359"/>
      <c r="J126" s="359"/>
      <c r="K126" s="439"/>
      <c r="L126" s="436" t="s">
        <v>306</v>
      </c>
      <c r="M126" s="436" t="s">
        <v>94</v>
      </c>
      <c r="N126" s="437" t="s">
        <v>292</v>
      </c>
      <c r="O126" s="437" t="s">
        <v>307</v>
      </c>
      <c r="P126" s="437"/>
      <c r="Q126" s="437"/>
      <c r="R126" s="444"/>
      <c r="S126" s="444"/>
      <c r="T126" s="439"/>
      <c r="U126" s="439"/>
      <c r="V126" s="439"/>
      <c r="W126" s="439"/>
      <c r="X126" s="439"/>
      <c r="Y126" s="439"/>
      <c r="Z126" s="439"/>
      <c r="AA126" s="439"/>
      <c r="AB126" s="439"/>
      <c r="AC126" s="439"/>
      <c r="AD126" s="439"/>
      <c r="AE126" s="439"/>
      <c r="AF126" s="439"/>
      <c r="AG126" s="439"/>
      <c r="AH126" s="439"/>
      <c r="AI126" s="439"/>
      <c r="AJ126" s="439"/>
      <c r="AK126" s="439"/>
      <c r="AL126" s="439"/>
      <c r="AM126" s="439"/>
      <c r="AN126" s="439"/>
      <c r="AO126" s="439"/>
      <c r="AP126" s="439"/>
      <c r="AQ126" s="439"/>
      <c r="AR126" s="439"/>
      <c r="AS126" s="439"/>
      <c r="AT126" s="439"/>
      <c r="AU126" s="439"/>
      <c r="AV126" s="439"/>
    </row>
    <row r="127" spans="1:48" ht="12.75" hidden="1" customHeight="1">
      <c r="A127" s="357"/>
      <c r="B127" s="357"/>
      <c r="C127" s="8"/>
      <c r="D127" s="358"/>
      <c r="E127" s="358"/>
      <c r="F127" s="358"/>
      <c r="G127" s="359"/>
      <c r="H127" s="359"/>
      <c r="I127" s="359"/>
      <c r="J127" s="359"/>
      <c r="K127" s="439"/>
      <c r="L127" s="436">
        <v>1</v>
      </c>
      <c r="M127" s="436">
        <v>0</v>
      </c>
      <c r="N127" s="437" t="e">
        <f ca="1">M123</f>
        <v>#N/A</v>
      </c>
      <c r="O127" s="437" t="e">
        <f>P123</f>
        <v>#N/A</v>
      </c>
      <c r="P127" s="437"/>
      <c r="Q127" s="437"/>
      <c r="R127" s="444"/>
      <c r="S127" s="444"/>
      <c r="T127" s="439"/>
      <c r="U127" s="439"/>
      <c r="V127" s="439"/>
      <c r="W127" s="439"/>
      <c r="X127" s="439"/>
      <c r="Y127" s="439"/>
      <c r="Z127" s="439"/>
      <c r="AA127" s="439"/>
      <c r="AB127" s="439"/>
      <c r="AC127" s="439"/>
      <c r="AD127" s="439"/>
      <c r="AE127" s="439"/>
      <c r="AF127" s="439"/>
      <c r="AG127" s="439"/>
      <c r="AH127" s="439"/>
      <c r="AI127" s="439"/>
      <c r="AJ127" s="439"/>
      <c r="AK127" s="439"/>
      <c r="AL127" s="439"/>
      <c r="AM127" s="439"/>
      <c r="AN127" s="439"/>
      <c r="AO127" s="439"/>
      <c r="AP127" s="439"/>
      <c r="AQ127" s="439"/>
      <c r="AR127" s="439"/>
      <c r="AS127" s="439"/>
      <c r="AT127" s="439"/>
      <c r="AU127" s="439"/>
      <c r="AV127" s="439"/>
    </row>
    <row r="128" spans="1:48" ht="12.75" hidden="1" customHeight="1">
      <c r="A128" s="357"/>
      <c r="B128" s="357"/>
      <c r="C128" s="8"/>
      <c r="D128" s="358"/>
      <c r="E128" s="358"/>
      <c r="F128" s="358"/>
      <c r="G128" s="359"/>
      <c r="H128" s="359"/>
      <c r="I128" s="359"/>
      <c r="J128" s="359"/>
      <c r="K128" s="439"/>
      <c r="L128" s="436">
        <v>2</v>
      </c>
      <c r="M128" s="438">
        <f>M117-M119</f>
        <v>0</v>
      </c>
      <c r="N128" s="437" t="e">
        <f ca="1">N127-M115*M128</f>
        <v>#N/A</v>
      </c>
      <c r="O128" s="437" t="e">
        <f>O127-P115*M128</f>
        <v>#N/A</v>
      </c>
      <c r="P128" s="437"/>
      <c r="Q128" s="437"/>
      <c r="R128" s="444"/>
      <c r="S128" s="444"/>
      <c r="T128" s="439"/>
      <c r="U128" s="439"/>
      <c r="V128" s="439"/>
      <c r="W128" s="439"/>
      <c r="X128" s="439"/>
      <c r="Y128" s="439"/>
      <c r="Z128" s="439"/>
      <c r="AA128" s="439"/>
      <c r="AB128" s="439"/>
      <c r="AC128" s="439"/>
      <c r="AD128" s="439"/>
      <c r="AE128" s="439"/>
      <c r="AF128" s="439"/>
      <c r="AG128" s="439"/>
      <c r="AH128" s="439"/>
      <c r="AI128" s="439"/>
      <c r="AJ128" s="439"/>
      <c r="AK128" s="439"/>
      <c r="AL128" s="439"/>
      <c r="AM128" s="439"/>
      <c r="AN128" s="439"/>
      <c r="AO128" s="439"/>
      <c r="AP128" s="439"/>
      <c r="AQ128" s="439"/>
      <c r="AR128" s="439"/>
      <c r="AS128" s="439"/>
      <c r="AT128" s="439"/>
      <c r="AU128" s="439"/>
      <c r="AV128" s="439"/>
    </row>
    <row r="129" spans="1:48" ht="12.75" hidden="1" customHeight="1">
      <c r="A129" s="357"/>
      <c r="B129" s="357"/>
      <c r="C129" s="8"/>
      <c r="D129" s="358"/>
      <c r="E129" s="358"/>
      <c r="F129" s="358"/>
      <c r="G129" s="359"/>
      <c r="H129" s="359"/>
      <c r="I129" s="359"/>
      <c r="J129" s="359"/>
      <c r="K129" s="439"/>
      <c r="L129" s="436">
        <v>3</v>
      </c>
      <c r="M129" s="438">
        <f>M117</f>
        <v>-9.9999999999999995E-8</v>
      </c>
      <c r="N129" s="437" t="e">
        <f ca="1">N128-(M115+M116)*M119</f>
        <v>#N/A</v>
      </c>
      <c r="O129" s="437" t="e">
        <f>O128-(P115+P116)*M119</f>
        <v>#N/A</v>
      </c>
      <c r="P129" s="437"/>
      <c r="Q129" s="428"/>
      <c r="R129" s="444"/>
      <c r="S129" s="444"/>
      <c r="T129" s="439"/>
      <c r="U129" s="439"/>
      <c r="V129" s="439"/>
      <c r="W129" s="439"/>
      <c r="X129" s="439"/>
      <c r="Y129" s="439"/>
      <c r="Z129" s="439"/>
      <c r="AA129" s="439"/>
      <c r="AB129" s="439"/>
      <c r="AC129" s="439"/>
      <c r="AD129" s="439"/>
      <c r="AE129" s="439"/>
      <c r="AF129" s="439"/>
      <c r="AG129" s="439"/>
      <c r="AH129" s="439"/>
      <c r="AI129" s="439"/>
      <c r="AJ129" s="439"/>
      <c r="AK129" s="439"/>
      <c r="AL129" s="439"/>
      <c r="AM129" s="439"/>
      <c r="AN129" s="439"/>
      <c r="AO129" s="439"/>
      <c r="AP129" s="439"/>
      <c r="AQ129" s="439"/>
      <c r="AR129" s="439"/>
      <c r="AS129" s="439"/>
      <c r="AT129" s="439"/>
      <c r="AU129" s="439"/>
      <c r="AV129" s="439"/>
    </row>
    <row r="130" spans="1:48" ht="12.75" hidden="1" customHeight="1">
      <c r="A130" s="357"/>
      <c r="B130" s="357"/>
      <c r="C130" s="8"/>
      <c r="D130" s="358"/>
      <c r="E130" s="358"/>
      <c r="F130" s="358"/>
      <c r="G130" s="359"/>
      <c r="H130" s="359"/>
      <c r="I130" s="359"/>
      <c r="J130" s="359"/>
      <c r="K130" s="439"/>
      <c r="L130" s="436">
        <v>4</v>
      </c>
      <c r="M130" s="438">
        <f>M117</f>
        <v>-9.9999999999999995E-8</v>
      </c>
      <c r="N130" s="437" t="e">
        <f ca="1">N129+M122</f>
        <v>#N/A</v>
      </c>
      <c r="O130" s="437" t="e">
        <f>O129+P122</f>
        <v>#N/A</v>
      </c>
      <c r="P130" s="437"/>
      <c r="Q130" s="428"/>
      <c r="R130" s="444"/>
      <c r="S130" s="444"/>
      <c r="T130" s="439"/>
      <c r="U130" s="439"/>
      <c r="V130" s="439"/>
      <c r="W130" s="439"/>
      <c r="X130" s="439"/>
      <c r="Y130" s="439"/>
      <c r="Z130" s="439"/>
      <c r="AA130" s="439"/>
      <c r="AB130" s="439"/>
      <c r="AC130" s="439"/>
      <c r="AD130" s="439"/>
      <c r="AE130" s="439"/>
      <c r="AF130" s="439"/>
      <c r="AG130" s="439"/>
      <c r="AH130" s="439"/>
      <c r="AI130" s="439"/>
      <c r="AJ130" s="439"/>
      <c r="AK130" s="439"/>
      <c r="AL130" s="439"/>
      <c r="AM130" s="439"/>
      <c r="AN130" s="439"/>
      <c r="AO130" s="439"/>
      <c r="AP130" s="439"/>
      <c r="AQ130" s="439"/>
      <c r="AR130" s="439"/>
      <c r="AS130" s="439"/>
      <c r="AT130" s="439"/>
      <c r="AU130" s="439"/>
      <c r="AV130" s="439"/>
    </row>
    <row r="131" spans="1:48" ht="12.75" hidden="1" customHeight="1">
      <c r="A131" s="357"/>
      <c r="B131" s="357"/>
      <c r="C131" s="8"/>
      <c r="D131" s="358"/>
      <c r="E131" s="358"/>
      <c r="F131" s="358"/>
      <c r="G131" s="359"/>
      <c r="H131" s="359"/>
      <c r="I131" s="359"/>
      <c r="J131" s="359"/>
      <c r="K131" s="439"/>
      <c r="L131" s="436"/>
      <c r="M131" s="438">
        <f>M117+M118</f>
        <v>0</v>
      </c>
      <c r="N131" s="437" t="e">
        <f ca="1">N130-(M115+M116)*M118</f>
        <v>#N/A</v>
      </c>
      <c r="O131" s="437" t="e">
        <f>O130-(P115+P116+P117)*M118</f>
        <v>#N/A</v>
      </c>
      <c r="P131" s="437"/>
      <c r="Q131" s="428"/>
      <c r="R131" s="444"/>
      <c r="S131" s="444"/>
      <c r="T131" s="439"/>
      <c r="U131" s="439"/>
      <c r="V131" s="439"/>
      <c r="W131" s="439"/>
      <c r="X131" s="439"/>
      <c r="Y131" s="439"/>
      <c r="Z131" s="439"/>
      <c r="AA131" s="439"/>
      <c r="AB131" s="439"/>
      <c r="AC131" s="439"/>
      <c r="AD131" s="439"/>
      <c r="AE131" s="439"/>
      <c r="AF131" s="439"/>
      <c r="AG131" s="439"/>
      <c r="AH131" s="439"/>
      <c r="AI131" s="439"/>
      <c r="AJ131" s="439"/>
      <c r="AK131" s="439"/>
      <c r="AL131" s="439"/>
      <c r="AM131" s="439"/>
      <c r="AN131" s="439"/>
      <c r="AO131" s="439"/>
      <c r="AP131" s="439"/>
      <c r="AQ131" s="439"/>
      <c r="AR131" s="439"/>
      <c r="AS131" s="439"/>
      <c r="AT131" s="439"/>
      <c r="AU131" s="439"/>
      <c r="AV131" s="439"/>
    </row>
    <row r="132" spans="1:48" ht="12.75" hidden="1" customHeight="1">
      <c r="A132" s="357"/>
      <c r="B132" s="357"/>
      <c r="C132" s="8"/>
      <c r="D132" s="358"/>
      <c r="E132" s="358"/>
      <c r="F132" s="358"/>
      <c r="G132" s="359"/>
      <c r="H132" s="359"/>
      <c r="I132" s="359"/>
      <c r="J132" s="359"/>
      <c r="K132" s="439"/>
      <c r="L132" s="445"/>
      <c r="M132" s="445"/>
      <c r="N132" s="445"/>
      <c r="O132" s="445"/>
      <c r="P132" s="427"/>
      <c r="Q132" s="444"/>
      <c r="R132" s="444"/>
      <c r="S132" s="444"/>
      <c r="T132" s="439"/>
      <c r="U132" s="439"/>
      <c r="V132" s="439"/>
      <c r="W132" s="439"/>
      <c r="X132" s="439"/>
      <c r="Y132" s="439"/>
      <c r="Z132" s="439"/>
      <c r="AA132" s="439"/>
      <c r="AB132" s="439"/>
      <c r="AC132" s="439"/>
      <c r="AD132" s="439"/>
      <c r="AE132" s="439"/>
      <c r="AF132" s="439"/>
      <c r="AG132" s="439"/>
      <c r="AH132" s="439"/>
      <c r="AI132" s="439"/>
      <c r="AJ132" s="439"/>
      <c r="AK132" s="439"/>
      <c r="AL132" s="439"/>
      <c r="AM132" s="439"/>
      <c r="AN132" s="439"/>
      <c r="AO132" s="439"/>
      <c r="AP132" s="439"/>
      <c r="AQ132" s="439"/>
      <c r="AR132" s="439"/>
      <c r="AS132" s="439"/>
      <c r="AT132" s="439"/>
      <c r="AU132" s="439"/>
      <c r="AV132" s="439"/>
    </row>
    <row r="133" spans="1:48" ht="12.75" hidden="1" customHeight="1">
      <c r="A133" s="357"/>
      <c r="B133" s="357"/>
      <c r="C133" s="8"/>
      <c r="D133" s="358"/>
      <c r="E133" s="358"/>
      <c r="F133" s="358"/>
      <c r="G133" s="359"/>
      <c r="H133" s="359"/>
      <c r="I133" s="359"/>
      <c r="J133" s="359"/>
      <c r="K133" s="439"/>
      <c r="L133" s="445"/>
      <c r="M133" s="445"/>
      <c r="N133" s="445"/>
      <c r="O133" s="445"/>
      <c r="P133" s="427"/>
      <c r="Q133" s="444"/>
      <c r="R133" s="444"/>
      <c r="S133" s="444"/>
      <c r="T133" s="439"/>
      <c r="U133" s="439"/>
      <c r="V133" s="439"/>
      <c r="W133" s="439"/>
      <c r="X133" s="439"/>
      <c r="Y133" s="439"/>
      <c r="Z133" s="439"/>
      <c r="AA133" s="439"/>
      <c r="AB133" s="439"/>
      <c r="AC133" s="439"/>
      <c r="AD133" s="439"/>
      <c r="AE133" s="439"/>
      <c r="AF133" s="439"/>
      <c r="AG133" s="439"/>
      <c r="AH133" s="439"/>
      <c r="AI133" s="439"/>
      <c r="AJ133" s="439"/>
      <c r="AK133" s="439"/>
      <c r="AL133" s="439"/>
      <c r="AM133" s="439"/>
      <c r="AN133" s="439"/>
      <c r="AO133" s="439"/>
      <c r="AP133" s="439"/>
      <c r="AQ133" s="439"/>
      <c r="AR133" s="439"/>
      <c r="AS133" s="439"/>
      <c r="AT133" s="439"/>
      <c r="AU133" s="439"/>
      <c r="AV133" s="439"/>
    </row>
    <row r="134" spans="1:48" ht="12.75" hidden="1" customHeight="1">
      <c r="A134" s="357"/>
      <c r="B134" s="357"/>
      <c r="C134" s="8"/>
      <c r="D134" s="358"/>
      <c r="E134" s="358"/>
      <c r="F134" s="358"/>
      <c r="G134" s="359"/>
      <c r="H134" s="359"/>
      <c r="I134" s="359"/>
      <c r="J134" s="359"/>
      <c r="K134" s="439"/>
      <c r="L134" s="435" t="s">
        <v>311</v>
      </c>
      <c r="M134" s="436" t="s">
        <v>94</v>
      </c>
      <c r="N134" s="437" t="s">
        <v>292</v>
      </c>
      <c r="O134" s="437" t="s">
        <v>307</v>
      </c>
      <c r="P134" s="427"/>
      <c r="Q134" s="444"/>
      <c r="R134" s="444"/>
      <c r="S134" s="444"/>
      <c r="T134" s="439"/>
      <c r="U134" s="439"/>
      <c r="V134" s="439"/>
      <c r="W134" s="439"/>
      <c r="X134" s="439"/>
      <c r="Y134" s="439"/>
      <c r="Z134" s="439"/>
      <c r="AA134" s="439"/>
      <c r="AB134" s="439"/>
      <c r="AC134" s="439"/>
      <c r="AD134" s="439"/>
      <c r="AE134" s="439"/>
      <c r="AF134" s="439"/>
      <c r="AG134" s="439"/>
      <c r="AH134" s="439"/>
      <c r="AI134" s="439"/>
      <c r="AJ134" s="439"/>
      <c r="AK134" s="439"/>
      <c r="AL134" s="439"/>
      <c r="AM134" s="439"/>
      <c r="AN134" s="439"/>
      <c r="AO134" s="439"/>
      <c r="AP134" s="439"/>
      <c r="AQ134" s="439"/>
      <c r="AR134" s="439"/>
      <c r="AS134" s="439"/>
      <c r="AT134" s="439"/>
      <c r="AU134" s="439"/>
      <c r="AV134" s="439"/>
    </row>
    <row r="135" spans="1:48" ht="12.75" hidden="1" customHeight="1">
      <c r="A135" s="357"/>
      <c r="B135" s="357"/>
      <c r="C135" s="8"/>
      <c r="D135" s="358"/>
      <c r="E135" s="358"/>
      <c r="F135" s="358"/>
      <c r="G135" s="359"/>
      <c r="H135" s="359"/>
      <c r="I135" s="359"/>
      <c r="J135" s="359"/>
      <c r="K135" s="439"/>
      <c r="L135" s="436">
        <v>1</v>
      </c>
      <c r="M135" s="438">
        <v>0</v>
      </c>
      <c r="N135" s="437">
        <v>0</v>
      </c>
      <c r="O135" s="437">
        <v>0</v>
      </c>
      <c r="P135" s="443"/>
      <c r="Q135" s="444"/>
      <c r="R135" s="444"/>
      <c r="S135" s="444"/>
      <c r="T135" s="439"/>
      <c r="U135" s="439"/>
      <c r="V135" s="439"/>
      <c r="W135" s="439"/>
      <c r="X135" s="439"/>
      <c r="Y135" s="439"/>
      <c r="Z135" s="439"/>
      <c r="AA135" s="439"/>
      <c r="AB135" s="439"/>
      <c r="AC135" s="439"/>
      <c r="AD135" s="439"/>
      <c r="AE135" s="439"/>
      <c r="AF135" s="439"/>
      <c r="AG135" s="439"/>
      <c r="AH135" s="439"/>
      <c r="AI135" s="439"/>
      <c r="AJ135" s="439"/>
      <c r="AK135" s="439"/>
      <c r="AL135" s="439"/>
      <c r="AM135" s="439"/>
      <c r="AN135" s="439"/>
      <c r="AO135" s="439"/>
      <c r="AP135" s="439"/>
      <c r="AQ135" s="439"/>
      <c r="AR135" s="439"/>
      <c r="AS135" s="439"/>
      <c r="AT135" s="439"/>
      <c r="AU135" s="439"/>
      <c r="AV135" s="439"/>
    </row>
    <row r="136" spans="1:48" ht="12.75" hidden="1" customHeight="1">
      <c r="A136" s="357"/>
      <c r="B136" s="357"/>
      <c r="C136" s="8"/>
      <c r="D136" s="358"/>
      <c r="E136" s="358"/>
      <c r="F136" s="358"/>
      <c r="G136" s="359"/>
      <c r="H136" s="359"/>
      <c r="I136" s="359"/>
      <c r="J136" s="359"/>
      <c r="K136" s="439"/>
      <c r="L136" s="436" t="s">
        <v>318</v>
      </c>
      <c r="M136" s="438" t="e">
        <f ca="1">M123/M115</f>
        <v>#N/A</v>
      </c>
      <c r="N136" s="437" t="e">
        <f ca="1">N127*M136/2</f>
        <v>#N/A</v>
      </c>
      <c r="O136" s="437" t="s">
        <v>144</v>
      </c>
      <c r="P136" s="443"/>
      <c r="Q136" s="444"/>
      <c r="R136" s="444"/>
      <c r="S136" s="444"/>
      <c r="T136" s="439"/>
      <c r="U136" s="439"/>
      <c r="V136" s="439"/>
      <c r="W136" s="439"/>
      <c r="X136" s="439"/>
      <c r="Y136" s="439"/>
      <c r="Z136" s="439"/>
      <c r="AA136" s="439"/>
      <c r="AB136" s="439"/>
      <c r="AC136" s="439"/>
      <c r="AD136" s="439"/>
      <c r="AE136" s="439"/>
      <c r="AF136" s="439"/>
      <c r="AG136" s="439"/>
      <c r="AH136" s="439"/>
      <c r="AI136" s="439"/>
      <c r="AJ136" s="439"/>
      <c r="AK136" s="439"/>
      <c r="AL136" s="439"/>
      <c r="AM136" s="439"/>
      <c r="AN136" s="439"/>
      <c r="AO136" s="439"/>
      <c r="AP136" s="439"/>
      <c r="AQ136" s="439"/>
      <c r="AR136" s="439"/>
      <c r="AS136" s="439"/>
      <c r="AT136" s="439"/>
      <c r="AU136" s="439"/>
      <c r="AV136" s="439"/>
    </row>
    <row r="137" spans="1:48" ht="12.75" hidden="1" customHeight="1">
      <c r="A137" s="357"/>
      <c r="B137" s="357"/>
      <c r="C137" s="8"/>
      <c r="D137" s="358"/>
      <c r="E137" s="358"/>
      <c r="F137" s="358"/>
      <c r="G137" s="359"/>
      <c r="H137" s="359"/>
      <c r="I137" s="359"/>
      <c r="J137" s="359"/>
      <c r="K137" s="439"/>
      <c r="L137" s="436" t="s">
        <v>319</v>
      </c>
      <c r="M137" s="438" t="e">
        <f>P123/P115</f>
        <v>#N/A</v>
      </c>
      <c r="N137" s="437" t="s">
        <v>144</v>
      </c>
      <c r="O137" s="437" t="e">
        <f>P123*M137/2</f>
        <v>#N/A</v>
      </c>
      <c r="P137" s="443"/>
      <c r="Q137" s="444"/>
      <c r="R137" s="444"/>
      <c r="S137" s="444"/>
      <c r="T137" s="439"/>
      <c r="U137" s="439"/>
      <c r="V137" s="439"/>
      <c r="W137" s="439"/>
      <c r="X137" s="439"/>
      <c r="Y137" s="439"/>
      <c r="Z137" s="439"/>
      <c r="AA137" s="439"/>
      <c r="AB137" s="439"/>
      <c r="AC137" s="439"/>
      <c r="AD137" s="439"/>
      <c r="AE137" s="439"/>
      <c r="AF137" s="439"/>
      <c r="AG137" s="439"/>
      <c r="AH137" s="439"/>
      <c r="AI137" s="439"/>
      <c r="AJ137" s="439"/>
      <c r="AK137" s="439"/>
      <c r="AL137" s="439"/>
      <c r="AM137" s="439"/>
      <c r="AN137" s="439"/>
      <c r="AO137" s="439"/>
      <c r="AP137" s="439"/>
      <c r="AQ137" s="439"/>
      <c r="AR137" s="439"/>
      <c r="AS137" s="439"/>
      <c r="AT137" s="439"/>
      <c r="AU137" s="439"/>
      <c r="AV137" s="439"/>
    </row>
    <row r="138" spans="1:48" ht="12.75" hidden="1" customHeight="1">
      <c r="A138" s="357"/>
      <c r="B138" s="357"/>
      <c r="C138" s="8"/>
      <c r="D138" s="358"/>
      <c r="E138" s="358"/>
      <c r="F138" s="358"/>
      <c r="G138" s="359"/>
      <c r="H138" s="359"/>
      <c r="I138" s="359"/>
      <c r="J138" s="359"/>
      <c r="K138" s="439"/>
      <c r="L138" s="436">
        <v>3</v>
      </c>
      <c r="M138" s="438">
        <f t="shared" ref="M138:M139" si="21">M128</f>
        <v>0</v>
      </c>
      <c r="N138" s="437" t="e">
        <f ca="1">N136+N128*(M138-M136)/2</f>
        <v>#N/A</v>
      </c>
      <c r="O138" s="437" t="e">
        <f>O137+O128*(M138-M137)/2</f>
        <v>#N/A</v>
      </c>
      <c r="P138" s="443"/>
      <c r="Q138" s="444"/>
      <c r="R138" s="444"/>
      <c r="S138" s="444"/>
      <c r="T138" s="439"/>
      <c r="U138" s="439"/>
      <c r="V138" s="439"/>
      <c r="W138" s="439"/>
      <c r="X138" s="439"/>
      <c r="Y138" s="439"/>
      <c r="Z138" s="439"/>
      <c r="AA138" s="439"/>
      <c r="AB138" s="439"/>
      <c r="AC138" s="439"/>
      <c r="AD138" s="439"/>
      <c r="AE138" s="439"/>
      <c r="AF138" s="439"/>
      <c r="AG138" s="439"/>
      <c r="AH138" s="439"/>
      <c r="AI138" s="439"/>
      <c r="AJ138" s="439"/>
      <c r="AK138" s="439"/>
      <c r="AL138" s="439"/>
      <c r="AM138" s="439"/>
      <c r="AN138" s="439"/>
      <c r="AO138" s="439"/>
      <c r="AP138" s="439"/>
      <c r="AQ138" s="439"/>
      <c r="AR138" s="439"/>
      <c r="AS138" s="439"/>
      <c r="AT138" s="439"/>
      <c r="AU138" s="439"/>
      <c r="AV138" s="439"/>
    </row>
    <row r="139" spans="1:48" ht="12.75" hidden="1" customHeight="1">
      <c r="A139" s="357"/>
      <c r="B139" s="357"/>
      <c r="C139" s="8"/>
      <c r="D139" s="358"/>
      <c r="E139" s="358"/>
      <c r="F139" s="358"/>
      <c r="G139" s="359"/>
      <c r="H139" s="359"/>
      <c r="I139" s="359"/>
      <c r="J139" s="359"/>
      <c r="K139" s="439"/>
      <c r="L139" s="436">
        <v>4</v>
      </c>
      <c r="M139" s="438">
        <f t="shared" si="21"/>
        <v>-9.9999999999999995E-8</v>
      </c>
      <c r="N139" s="437" t="e">
        <f ca="1">N138+(N129-N128)*M119/2+N128*M119</f>
        <v>#N/A</v>
      </c>
      <c r="O139" s="437" t="e">
        <f>O138+(O129-O128)*M119/2+O128*M119</f>
        <v>#N/A</v>
      </c>
      <c r="P139" s="443"/>
      <c r="Q139" s="444"/>
      <c r="R139" s="444"/>
      <c r="S139" s="444"/>
      <c r="T139" s="439"/>
      <c r="U139" s="439"/>
      <c r="V139" s="439"/>
      <c r="W139" s="439"/>
      <c r="X139" s="439"/>
      <c r="Y139" s="439"/>
      <c r="Z139" s="439"/>
      <c r="AA139" s="439"/>
      <c r="AB139" s="439"/>
      <c r="AC139" s="439"/>
      <c r="AD139" s="439"/>
      <c r="AE139" s="439"/>
      <c r="AF139" s="439"/>
      <c r="AG139" s="439"/>
      <c r="AH139" s="439"/>
      <c r="AI139" s="439"/>
      <c r="AJ139" s="439"/>
      <c r="AK139" s="439"/>
      <c r="AL139" s="439"/>
      <c r="AM139" s="439"/>
      <c r="AN139" s="439"/>
      <c r="AO139" s="439"/>
      <c r="AP139" s="439"/>
      <c r="AQ139" s="439"/>
      <c r="AR139" s="439"/>
      <c r="AS139" s="439"/>
      <c r="AT139" s="439"/>
      <c r="AU139" s="439"/>
      <c r="AV139" s="439"/>
    </row>
    <row r="140" spans="1:48" ht="12.75" hidden="1" customHeight="1">
      <c r="A140" s="357"/>
      <c r="B140" s="357"/>
      <c r="C140" s="8"/>
      <c r="D140" s="358"/>
      <c r="E140" s="358"/>
      <c r="F140" s="358"/>
      <c r="G140" s="359"/>
      <c r="H140" s="359"/>
      <c r="I140" s="359"/>
      <c r="J140" s="359"/>
      <c r="K140" s="439"/>
      <c r="L140" s="436">
        <v>5</v>
      </c>
      <c r="M140" s="438">
        <f>M131</f>
        <v>0</v>
      </c>
      <c r="N140" s="437" t="e">
        <f ca="1">N139+N130*M118/2</f>
        <v>#N/A</v>
      </c>
      <c r="O140" s="437" t="e">
        <f>O139+O130*M118/2</f>
        <v>#N/A</v>
      </c>
      <c r="P140" s="443"/>
      <c r="Q140" s="444"/>
      <c r="R140" s="444"/>
      <c r="S140" s="444"/>
      <c r="T140" s="439"/>
      <c r="U140" s="439"/>
      <c r="V140" s="439"/>
      <c r="W140" s="439"/>
      <c r="X140" s="439"/>
      <c r="Y140" s="439"/>
      <c r="Z140" s="439"/>
      <c r="AA140" s="439"/>
      <c r="AB140" s="439"/>
      <c r="AC140" s="439"/>
      <c r="AD140" s="439"/>
      <c r="AE140" s="439"/>
      <c r="AF140" s="439"/>
      <c r="AG140" s="439"/>
      <c r="AH140" s="439"/>
      <c r="AI140" s="439"/>
      <c r="AJ140" s="439"/>
      <c r="AK140" s="439"/>
      <c r="AL140" s="439"/>
      <c r="AM140" s="439"/>
      <c r="AN140" s="439"/>
      <c r="AO140" s="439"/>
      <c r="AP140" s="439"/>
      <c r="AQ140" s="439"/>
      <c r="AR140" s="439"/>
      <c r="AS140" s="439"/>
      <c r="AT140" s="439"/>
      <c r="AU140" s="439"/>
      <c r="AV140" s="439"/>
    </row>
    <row r="141" spans="1:48" ht="12.75" hidden="1" customHeight="1">
      <c r="A141" s="357"/>
      <c r="B141" s="357"/>
      <c r="C141" s="8"/>
      <c r="D141" s="358"/>
      <c r="E141" s="358"/>
      <c r="F141" s="358"/>
      <c r="G141" s="359"/>
      <c r="H141" s="359"/>
      <c r="I141" s="359"/>
      <c r="J141" s="359"/>
      <c r="K141" s="439"/>
      <c r="L141" s="441"/>
      <c r="M141" s="442"/>
      <c r="N141" s="443"/>
      <c r="O141" s="443"/>
      <c r="P141" s="443"/>
      <c r="Q141" s="444"/>
      <c r="R141" s="444"/>
      <c r="S141" s="444"/>
      <c r="T141" s="439"/>
      <c r="U141" s="439"/>
      <c r="V141" s="439"/>
      <c r="W141" s="439"/>
      <c r="X141" s="439"/>
      <c r="Y141" s="439"/>
      <c r="Z141" s="439"/>
      <c r="AA141" s="439"/>
      <c r="AB141" s="439"/>
      <c r="AC141" s="439"/>
      <c r="AD141" s="439"/>
      <c r="AE141" s="439"/>
      <c r="AF141" s="439"/>
      <c r="AG141" s="439"/>
      <c r="AH141" s="439"/>
      <c r="AI141" s="439"/>
      <c r="AJ141" s="439"/>
      <c r="AK141" s="439"/>
      <c r="AL141" s="439"/>
      <c r="AM141" s="439"/>
      <c r="AN141" s="439"/>
      <c r="AO141" s="439"/>
      <c r="AP141" s="439"/>
      <c r="AQ141" s="439"/>
      <c r="AR141" s="439"/>
      <c r="AS141" s="439"/>
      <c r="AT141" s="439"/>
      <c r="AU141" s="439"/>
      <c r="AV141" s="439"/>
    </row>
    <row r="142" spans="1:48" ht="12.75" hidden="1" customHeight="1">
      <c r="A142" s="357"/>
      <c r="B142" s="357"/>
      <c r="C142" s="8"/>
      <c r="D142" s="358"/>
      <c r="E142" s="358"/>
      <c r="F142" s="358"/>
      <c r="G142" s="359"/>
      <c r="H142" s="359"/>
      <c r="I142" s="359"/>
      <c r="J142" s="359"/>
      <c r="K142" s="439"/>
      <c r="L142" s="435" t="s">
        <v>320</v>
      </c>
      <c r="M142" s="442" t="b">
        <f>U9</f>
        <v>1</v>
      </c>
      <c r="N142" s="443"/>
      <c r="O142" s="443"/>
      <c r="P142" s="443"/>
      <c r="Q142" s="444"/>
      <c r="R142" s="444"/>
      <c r="S142" s="444"/>
      <c r="T142" s="439"/>
      <c r="U142" s="439"/>
      <c r="V142" s="439"/>
      <c r="W142" s="439"/>
      <c r="X142" s="439"/>
      <c r="Y142" s="439"/>
      <c r="Z142" s="439"/>
      <c r="AA142" s="439"/>
      <c r="AB142" s="439"/>
      <c r="AC142" s="439"/>
      <c r="AD142" s="439"/>
      <c r="AE142" s="439"/>
      <c r="AF142" s="439"/>
      <c r="AG142" s="439"/>
      <c r="AH142" s="439"/>
      <c r="AI142" s="439"/>
      <c r="AJ142" s="439"/>
      <c r="AK142" s="439"/>
      <c r="AL142" s="439"/>
      <c r="AM142" s="439"/>
      <c r="AN142" s="439"/>
      <c r="AO142" s="439"/>
      <c r="AP142" s="439"/>
      <c r="AQ142" s="439"/>
      <c r="AR142" s="439"/>
      <c r="AS142" s="439"/>
      <c r="AT142" s="439"/>
      <c r="AU142" s="439"/>
      <c r="AV142" s="439"/>
    </row>
    <row r="143" spans="1:48" ht="12.75" hidden="1" customHeight="1">
      <c r="A143" s="357"/>
      <c r="B143" s="357"/>
      <c r="C143" s="8"/>
      <c r="D143" s="358"/>
      <c r="E143" s="358"/>
      <c r="F143" s="358"/>
      <c r="G143" s="359"/>
      <c r="H143" s="359"/>
      <c r="I143" s="359"/>
      <c r="J143" s="359"/>
      <c r="K143" s="439"/>
      <c r="L143" s="445"/>
      <c r="M143" s="445"/>
      <c r="N143" s="443"/>
      <c r="O143" s="443"/>
      <c r="P143" s="443"/>
      <c r="Q143" s="444"/>
      <c r="R143" s="444"/>
      <c r="S143" s="444"/>
      <c r="T143" s="439"/>
      <c r="U143" s="439"/>
      <c r="V143" s="439"/>
      <c r="W143" s="439"/>
      <c r="X143" s="439"/>
      <c r="Y143" s="439"/>
      <c r="Z143" s="439"/>
      <c r="AA143" s="439"/>
      <c r="AB143" s="439"/>
      <c r="AC143" s="439"/>
      <c r="AD143" s="439"/>
      <c r="AE143" s="439"/>
      <c r="AF143" s="439"/>
      <c r="AG143" s="439"/>
      <c r="AH143" s="439"/>
      <c r="AI143" s="439"/>
      <c r="AJ143" s="439"/>
      <c r="AK143" s="439"/>
      <c r="AL143" s="439"/>
      <c r="AM143" s="439"/>
      <c r="AN143" s="439"/>
      <c r="AO143" s="439"/>
      <c r="AP143" s="439"/>
      <c r="AQ143" s="439"/>
      <c r="AR143" s="439"/>
      <c r="AS143" s="439"/>
      <c r="AT143" s="439"/>
      <c r="AU143" s="439"/>
      <c r="AV143" s="439"/>
    </row>
    <row r="144" spans="1:48" ht="12.75" hidden="1" customHeight="1">
      <c r="A144" s="357"/>
      <c r="B144" s="357"/>
      <c r="C144" s="8"/>
      <c r="D144" s="358"/>
      <c r="E144" s="358"/>
      <c r="F144" s="358"/>
      <c r="G144" s="359"/>
      <c r="H144" s="359"/>
      <c r="I144" s="359"/>
      <c r="J144" s="359"/>
      <c r="K144" s="439"/>
      <c r="L144" s="441"/>
      <c r="M144" s="446" t="s">
        <v>321</v>
      </c>
      <c r="N144" s="447" t="s">
        <v>322</v>
      </c>
      <c r="O144" s="447" t="s">
        <v>323</v>
      </c>
      <c r="P144" s="447" t="s">
        <v>324</v>
      </c>
      <c r="Q144" s="448" t="s">
        <v>325</v>
      </c>
      <c r="R144" s="448" t="s">
        <v>326</v>
      </c>
      <c r="S144" s="449" t="s">
        <v>327</v>
      </c>
      <c r="T144" s="439"/>
      <c r="U144" s="439"/>
      <c r="V144" s="439"/>
      <c r="W144" s="439"/>
      <c r="X144" s="439"/>
      <c r="Y144" s="439"/>
      <c r="Z144" s="439"/>
      <c r="AA144" s="439"/>
      <c r="AB144" s="439"/>
      <c r="AC144" s="439"/>
      <c r="AD144" s="439"/>
      <c r="AE144" s="439"/>
      <c r="AF144" s="439"/>
      <c r="AG144" s="439"/>
      <c r="AH144" s="439"/>
      <c r="AI144" s="439"/>
      <c r="AJ144" s="439"/>
      <c r="AK144" s="439"/>
      <c r="AL144" s="439"/>
      <c r="AM144" s="439"/>
      <c r="AN144" s="439"/>
      <c r="AO144" s="439"/>
      <c r="AP144" s="439"/>
      <c r="AQ144" s="439"/>
      <c r="AR144" s="439"/>
      <c r="AS144" s="439"/>
      <c r="AT144" s="439"/>
      <c r="AU144" s="439"/>
      <c r="AV144" s="439"/>
    </row>
    <row r="145" spans="1:48" ht="12.75" hidden="1" customHeight="1">
      <c r="A145" s="357"/>
      <c r="B145" s="357"/>
      <c r="C145" s="8"/>
      <c r="D145" s="358"/>
      <c r="E145" s="358"/>
      <c r="F145" s="358"/>
      <c r="G145" s="359"/>
      <c r="H145" s="359"/>
      <c r="I145" s="359"/>
      <c r="J145" s="359"/>
      <c r="K145" s="439"/>
      <c r="L145" s="450" t="s">
        <v>328</v>
      </c>
      <c r="M145" s="451" t="e">
        <f ca="1">M94*M95^2/8</f>
        <v>#N/A</v>
      </c>
      <c r="N145" s="451" t="e">
        <f>P94*M95^2/8</f>
        <v>#N/A</v>
      </c>
      <c r="O145" s="451" t="e">
        <f ca="1">M115*M95^2/8+(M116*M119*(2*M117-M119)/(2*M117))^2/(2*M116)</f>
        <v>#N/A</v>
      </c>
      <c r="P145" s="451" t="e">
        <f>P115*M95^2/8+(P116*M119*(2*M117-M119)/(2*M117))^2/(2*P116)</f>
        <v>#N/A</v>
      </c>
      <c r="Q145" s="452" t="e">
        <f ca="1">MAX(M145:N146)</f>
        <v>#N/A</v>
      </c>
      <c r="R145" s="452" t="e">
        <f ca="1">MAX(O145:P146)</f>
        <v>#N/A</v>
      </c>
      <c r="S145" s="452" t="e">
        <f ca="1">IF($M$142=TRUE,Q145,R145)</f>
        <v>#N/A</v>
      </c>
      <c r="T145" s="439"/>
      <c r="U145" s="439"/>
      <c r="V145" s="439"/>
      <c r="W145" s="439"/>
      <c r="X145" s="439"/>
      <c r="Y145" s="439"/>
      <c r="Z145" s="439"/>
      <c r="AA145" s="439"/>
      <c r="AB145" s="439"/>
      <c r="AC145" s="439"/>
      <c r="AD145" s="439"/>
      <c r="AE145" s="439"/>
      <c r="AF145" s="439"/>
      <c r="AG145" s="439"/>
      <c r="AH145" s="439"/>
      <c r="AI145" s="439"/>
      <c r="AJ145" s="439"/>
      <c r="AK145" s="439"/>
      <c r="AL145" s="439"/>
      <c r="AM145" s="439"/>
      <c r="AN145" s="439"/>
      <c r="AO145" s="439"/>
      <c r="AP145" s="439"/>
      <c r="AQ145" s="439"/>
      <c r="AR145" s="439"/>
      <c r="AS145" s="439"/>
      <c r="AT145" s="439"/>
      <c r="AU145" s="439"/>
      <c r="AV145" s="439"/>
    </row>
    <row r="146" spans="1:48" ht="12.75" hidden="1" customHeight="1">
      <c r="A146" s="357"/>
      <c r="B146" s="357"/>
      <c r="C146" s="8"/>
      <c r="D146" s="358"/>
      <c r="E146" s="358"/>
      <c r="F146" s="358"/>
      <c r="G146" s="359"/>
      <c r="H146" s="359"/>
      <c r="I146" s="359"/>
      <c r="J146" s="359"/>
      <c r="K146" s="439"/>
      <c r="L146" s="450" t="s">
        <v>329</v>
      </c>
      <c r="M146" s="451" t="e">
        <f t="shared" ref="M146:N146" ca="1" si="22">N109</f>
        <v>#N/A</v>
      </c>
      <c r="N146" s="451" t="e">
        <f t="shared" si="22"/>
        <v>#N/A</v>
      </c>
      <c r="O146" s="451" t="e">
        <f t="shared" ref="O146:P146" ca="1" si="23">MAX(N135:N140)</f>
        <v>#N/A</v>
      </c>
      <c r="P146" s="451" t="e">
        <f t="shared" si="23"/>
        <v>#N/A</v>
      </c>
      <c r="Q146" s="452"/>
      <c r="R146" s="452"/>
      <c r="S146" s="452"/>
      <c r="T146" s="439"/>
      <c r="U146" s="439"/>
      <c r="V146" s="439"/>
      <c r="W146" s="439"/>
      <c r="X146" s="439"/>
      <c r="Y146" s="439"/>
      <c r="Z146" s="439"/>
      <c r="AA146" s="439"/>
      <c r="AB146" s="439"/>
      <c r="AC146" s="439"/>
      <c r="AD146" s="439"/>
      <c r="AE146" s="439"/>
      <c r="AF146" s="439"/>
      <c r="AG146" s="439"/>
      <c r="AH146" s="439"/>
      <c r="AI146" s="439"/>
      <c r="AJ146" s="439"/>
      <c r="AK146" s="439"/>
      <c r="AL146" s="439"/>
      <c r="AM146" s="439"/>
      <c r="AN146" s="439"/>
      <c r="AO146" s="439"/>
      <c r="AP146" s="439"/>
      <c r="AQ146" s="439"/>
      <c r="AR146" s="439"/>
      <c r="AS146" s="439"/>
      <c r="AT146" s="439"/>
      <c r="AU146" s="439"/>
      <c r="AV146" s="439"/>
    </row>
    <row r="147" spans="1:48" ht="12.75" hidden="1" customHeight="1">
      <c r="A147" s="357"/>
      <c r="B147" s="357"/>
      <c r="C147" s="8"/>
      <c r="D147" s="358"/>
      <c r="E147" s="358"/>
      <c r="F147" s="358"/>
      <c r="G147" s="359"/>
      <c r="H147" s="359"/>
      <c r="I147" s="359"/>
      <c r="J147" s="359"/>
      <c r="K147" s="439"/>
      <c r="L147" s="450" t="s">
        <v>330</v>
      </c>
      <c r="M147" s="451" t="e">
        <f t="shared" ref="M147:N147" ca="1" si="24">N110</f>
        <v>#N/A</v>
      </c>
      <c r="N147" s="451" t="e">
        <f t="shared" si="24"/>
        <v>#N/A</v>
      </c>
      <c r="O147" s="451" t="e">
        <f t="shared" ref="O147:P147" ca="1" si="25">MIN(N135:N140)</f>
        <v>#N/A</v>
      </c>
      <c r="P147" s="451" t="e">
        <f t="shared" si="25"/>
        <v>#N/A</v>
      </c>
      <c r="Q147" s="452" t="e">
        <f ca="1">MIN(M147:N147)</f>
        <v>#N/A</v>
      </c>
      <c r="R147" s="452" t="e">
        <f ca="1">MIN(O147:P147)</f>
        <v>#N/A</v>
      </c>
      <c r="S147" s="452" t="e">
        <f t="shared" ref="S147:S149" ca="1" si="26">IF($M$142=TRUE,Q147,R147)</f>
        <v>#N/A</v>
      </c>
      <c r="T147" s="439"/>
      <c r="U147" s="439"/>
      <c r="V147" s="439"/>
      <c r="W147" s="439"/>
      <c r="X147" s="439"/>
      <c r="Y147" s="439"/>
      <c r="Z147" s="439"/>
      <c r="AA147" s="439"/>
      <c r="AB147" s="439"/>
      <c r="AC147" s="439"/>
      <c r="AD147" s="439"/>
      <c r="AE147" s="439"/>
      <c r="AF147" s="439"/>
      <c r="AG147" s="439"/>
      <c r="AH147" s="439"/>
      <c r="AI147" s="439"/>
      <c r="AJ147" s="439"/>
      <c r="AK147" s="439"/>
      <c r="AL147" s="439"/>
      <c r="AM147" s="439"/>
      <c r="AN147" s="439"/>
      <c r="AO147" s="439"/>
      <c r="AP147" s="439"/>
      <c r="AQ147" s="439"/>
      <c r="AR147" s="439"/>
      <c r="AS147" s="439"/>
      <c r="AT147" s="439"/>
      <c r="AU147" s="439"/>
      <c r="AV147" s="439"/>
    </row>
    <row r="148" spans="1:48" ht="12.75" hidden="1" customHeight="1">
      <c r="A148" s="357"/>
      <c r="B148" s="357"/>
      <c r="C148" s="8"/>
      <c r="D148" s="358"/>
      <c r="E148" s="358"/>
      <c r="F148" s="358"/>
      <c r="G148" s="359"/>
      <c r="H148" s="359"/>
      <c r="I148" s="359"/>
      <c r="J148" s="359"/>
      <c r="K148" s="439"/>
      <c r="L148" s="450" t="s">
        <v>331</v>
      </c>
      <c r="M148" s="451" t="e">
        <f t="shared" ref="M148:N148" ca="1" si="27">MAX(MAX(N103:N106),ABS(MIN(N103:N106)))</f>
        <v>#N/A</v>
      </c>
      <c r="N148" s="451" t="e">
        <f t="shared" si="27"/>
        <v>#N/A</v>
      </c>
      <c r="O148" s="451" t="e">
        <f t="shared" ref="O148:P148" ca="1" si="28">MAX(MAX(N127:N131),ABS(MIN(N127:N131)))</f>
        <v>#N/A</v>
      </c>
      <c r="P148" s="451" t="e">
        <f t="shared" si="28"/>
        <v>#N/A</v>
      </c>
      <c r="Q148" s="452" t="e">
        <f t="shared" ref="Q148:Q149" ca="1" si="29">MAX(M148:N148)</f>
        <v>#N/A</v>
      </c>
      <c r="R148" s="452" t="e">
        <f t="shared" ref="R148:R149" ca="1" si="30">MAX(O148:P148)</f>
        <v>#N/A</v>
      </c>
      <c r="S148" s="452" t="e">
        <f t="shared" ca="1" si="26"/>
        <v>#N/A</v>
      </c>
      <c r="T148" s="439"/>
      <c r="U148" s="439"/>
      <c r="V148" s="439"/>
      <c r="W148" s="439"/>
      <c r="X148" s="439"/>
      <c r="Y148" s="439"/>
      <c r="Z148" s="439"/>
      <c r="AA148" s="439"/>
      <c r="AB148" s="439"/>
      <c r="AC148" s="439"/>
      <c r="AD148" s="439"/>
      <c r="AE148" s="439"/>
      <c r="AF148" s="439"/>
      <c r="AG148" s="439"/>
      <c r="AH148" s="439"/>
      <c r="AI148" s="439"/>
      <c r="AJ148" s="439"/>
      <c r="AK148" s="439"/>
      <c r="AL148" s="439"/>
      <c r="AM148" s="439"/>
      <c r="AN148" s="439"/>
      <c r="AO148" s="439"/>
      <c r="AP148" s="439"/>
      <c r="AQ148" s="439"/>
      <c r="AR148" s="439"/>
      <c r="AS148" s="439"/>
      <c r="AT148" s="439"/>
      <c r="AU148" s="439"/>
      <c r="AV148" s="439"/>
    </row>
    <row r="149" spans="1:48" ht="12.75" hidden="1" customHeight="1">
      <c r="A149" s="357"/>
      <c r="B149" s="357"/>
      <c r="C149" s="8"/>
      <c r="D149" s="358"/>
      <c r="E149" s="358"/>
      <c r="F149" s="358"/>
      <c r="G149" s="359"/>
      <c r="H149" s="359"/>
      <c r="I149" s="359"/>
      <c r="J149" s="359"/>
      <c r="K149" s="439"/>
      <c r="L149" s="450" t="s">
        <v>332</v>
      </c>
      <c r="M149" s="451" t="e">
        <f ca="1">M100</f>
        <v>#N/A</v>
      </c>
      <c r="N149" s="451" t="e">
        <f>P100</f>
        <v>#N/A</v>
      </c>
      <c r="O149" s="451" t="e">
        <f ca="1">M124</f>
        <v>#N/A</v>
      </c>
      <c r="P149" s="451" t="e">
        <f>P124</f>
        <v>#N/A</v>
      </c>
      <c r="Q149" s="452" t="e">
        <f t="shared" ca="1" si="29"/>
        <v>#N/A</v>
      </c>
      <c r="R149" s="452" t="e">
        <f t="shared" ca="1" si="30"/>
        <v>#N/A</v>
      </c>
      <c r="S149" s="452" t="e">
        <f t="shared" ca="1" si="26"/>
        <v>#N/A</v>
      </c>
      <c r="T149" s="439"/>
      <c r="U149" s="439"/>
      <c r="V149" s="439"/>
      <c r="W149" s="439"/>
      <c r="X149" s="439"/>
      <c r="Y149" s="439"/>
      <c r="Z149" s="439"/>
      <c r="AA149" s="439"/>
      <c r="AB149" s="439"/>
      <c r="AC149" s="439"/>
      <c r="AD149" s="439"/>
      <c r="AE149" s="439"/>
      <c r="AF149" s="439"/>
      <c r="AG149" s="439"/>
      <c r="AH149" s="439"/>
      <c r="AI149" s="439"/>
      <c r="AJ149" s="439"/>
      <c r="AK149" s="439"/>
      <c r="AL149" s="439"/>
      <c r="AM149" s="439"/>
      <c r="AN149" s="439"/>
      <c r="AO149" s="439"/>
      <c r="AP149" s="439"/>
      <c r="AQ149" s="439"/>
      <c r="AR149" s="439"/>
      <c r="AS149" s="439"/>
      <c r="AT149" s="439"/>
      <c r="AU149" s="439"/>
      <c r="AV149" s="439"/>
    </row>
  </sheetData>
  <mergeCells count="15">
    <mergeCell ref="S51:V51"/>
    <mergeCell ref="A2:G2"/>
    <mergeCell ref="A4:I4"/>
    <mergeCell ref="G6:G8"/>
    <mergeCell ref="A22:B22"/>
    <mergeCell ref="C22:D22"/>
    <mergeCell ref="B28:D28"/>
    <mergeCell ref="A30:B30"/>
    <mergeCell ref="C30:D30"/>
    <mergeCell ref="AF13:AM13"/>
    <mergeCell ref="AF14:AG14"/>
    <mergeCell ref="AH14:AI14"/>
    <mergeCell ref="AK14:AM14"/>
    <mergeCell ref="A36:I36"/>
    <mergeCell ref="AF22:AM22"/>
  </mergeCells>
  <conditionalFormatting sqref="B28:D28">
    <cfRule type="notContainsBlanks" dxfId="35" priority="9">
      <formula>LEN(TRIM(B28))&gt;0</formula>
    </cfRule>
  </conditionalFormatting>
  <conditionalFormatting sqref="D23:D24 D31:D34">
    <cfRule type="cellIs" dxfId="34" priority="8" operator="lessThan">
      <formula>B23</formula>
    </cfRule>
  </conditionalFormatting>
  <conditionalFormatting sqref="F6:F9 I6:I11 C6:C12 F11:F14">
    <cfRule type="expression" dxfId="33" priority="10">
      <formula>_xludf.isformula(C6)=FALSE</formula>
    </cfRule>
  </conditionalFormatting>
  <conditionalFormatting sqref="G6:G8">
    <cfRule type="notContainsBlanks" dxfId="32" priority="7">
      <formula>LEN(TRIM(G6))&gt;0</formula>
    </cfRule>
  </conditionalFormatting>
  <conditionalFormatting sqref="I44">
    <cfRule type="cellIs" dxfId="31" priority="6" operator="notEqual">
      <formula>"OK"</formula>
    </cfRule>
  </conditionalFormatting>
  <conditionalFormatting sqref="AJ15:AJ20 AJ24:AJ27">
    <cfRule type="cellIs" dxfId="30" priority="1" operator="equal">
      <formula>"PASS"</formula>
    </cfRule>
  </conditionalFormatting>
  <conditionalFormatting sqref="AM11">
    <cfRule type="cellIs" dxfId="29" priority="2" operator="equal">
      <formula>"OK"</formula>
    </cfRule>
    <cfRule type="cellIs" dxfId="28" priority="3" operator="equal">
      <formula>"TRUE"</formula>
    </cfRule>
    <cfRule type="cellIs" dxfId="27" priority="4" operator="equal">
      <formula>"PASS"</formula>
    </cfRule>
  </conditionalFormatting>
  <dataValidations count="2">
    <dataValidation type="list" allowBlank="1" sqref="C11" xr:uid="{00000000-0002-0000-0800-000000000000}">
      <formula1>$X$13:$X$19</formula1>
    </dataValidation>
    <dataValidation type="list" allowBlank="1" sqref="C7" xr:uid="{00000000-0002-0000-0800-000001000000}">
      <formula1>$X$5:$X$8</formula1>
    </dataValidation>
  </dataValidations>
  <printOptions horizontalCentered="1" gridLines="1"/>
  <pageMargins left="0.7" right="0.7" top="0.75" bottom="0.75" header="0" footer="0"/>
  <pageSetup fitToHeight="0" pageOrder="overThenDown" orientation="portrait" cellComments="atEnd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47C85A0B2EA84F91C271DF525D0016" ma:contentTypeVersion="12" ma:contentTypeDescription="Create a new document." ma:contentTypeScope="" ma:versionID="83d23f23841c024d489046b381158ae5">
  <xsd:schema xmlns:xsd="http://www.w3.org/2001/XMLSchema" xmlns:xs="http://www.w3.org/2001/XMLSchema" xmlns:p="http://schemas.microsoft.com/office/2006/metadata/properties" xmlns:ns1="http://schemas.microsoft.com/sharepoint/v3" xmlns:ns2="82251a52-8693-448d-8001-12d99300ff98" xmlns:ns3="5dd0b85f-3f9f-4ef5-8fd4-f31adc5d1305" targetNamespace="http://schemas.microsoft.com/office/2006/metadata/properties" ma:root="true" ma:fieldsID="9b43da3e9f31dbf5df2e9b733907e6bc" ns1:_="" ns2:_="" ns3:_="">
    <xsd:import namespace="http://schemas.microsoft.com/sharepoint/v3"/>
    <xsd:import namespace="82251a52-8693-448d-8001-12d99300ff98"/>
    <xsd:import namespace="5dd0b85f-3f9f-4ef5-8fd4-f31adc5d13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251a52-8693-448d-8001-12d99300f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ec331c6f-9f67-492c-b097-0046b48c9d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d0b85f-3f9f-4ef5-8fd4-f31adc5d1305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f50d915-bf99-4059-935b-28189a3a0388}" ma:internalName="TaxCatchAll" ma:showField="CatchAllData" ma:web="5dd0b85f-3f9f-4ef5-8fd4-f31adc5d13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2251a52-8693-448d-8001-12d99300ff98">
      <Terms xmlns="http://schemas.microsoft.com/office/infopath/2007/PartnerControls"/>
    </lcf76f155ced4ddcb4097134ff3c332f>
    <TaxCatchAll xmlns="5dd0b85f-3f9f-4ef5-8fd4-f31adc5d1305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6A08A3D-1834-40F2-B3D0-B5476F07D3CB}"/>
</file>

<file path=customXml/itemProps2.xml><?xml version="1.0" encoding="utf-8"?>
<ds:datastoreItem xmlns:ds="http://schemas.openxmlformats.org/officeDocument/2006/customXml" ds:itemID="{B443C937-3387-4631-A565-2DD7F0FBC0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1C809CD-32AF-43AC-8E1B-2223324475F2}">
  <ds:schemaRefs>
    <ds:schemaRef ds:uri="http://schemas.microsoft.com/office/2006/metadata/properties"/>
    <ds:schemaRef ds:uri="http://schemas.microsoft.com/office/infopath/2007/PartnerControls"/>
    <ds:schemaRef ds:uri="0735707b-c2b7-4cdc-898c-8392c9c5420a"/>
    <ds:schemaRef ds:uri="faa7c1f4-65c3-4022-82a8-cdf1b28889cb"/>
    <ds:schemaRef ds:uri="82251a52-8693-448d-8001-12d99300ff98"/>
    <ds:schemaRef ds:uri="5dd0b85f-3f9f-4ef5-8fd4-f31adc5d1305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3" baseType="lpstr">
      <vt:lpstr>MODULEINPUT</vt:lpstr>
      <vt:lpstr>SCHEDULESUMMARY</vt:lpstr>
      <vt:lpstr>LINTEL1</vt:lpstr>
      <vt:lpstr>LINTEL2</vt:lpstr>
      <vt:lpstr>LINTEL3</vt:lpstr>
      <vt:lpstr>LINTEL4</vt:lpstr>
      <vt:lpstr>LINTEL5</vt:lpstr>
      <vt:lpstr>LINTEL6</vt:lpstr>
      <vt:lpstr>LINTEL7</vt:lpstr>
      <vt:lpstr>LINTEL8</vt:lpstr>
      <vt:lpstr>LINTEL9</vt:lpstr>
      <vt:lpstr>LINTEL10</vt:lpstr>
      <vt:lpstr>index_CC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Clayson, Denis</dc:creator>
  <cp:lastModifiedBy>Valencia, Allison</cp:lastModifiedBy>
  <cp:lastPrinted>2025-10-16T23:43:24Z</cp:lastPrinted>
  <dcterms:created xsi:type="dcterms:W3CDTF">2021-09-27T15:49:16Z</dcterms:created>
  <dcterms:modified xsi:type="dcterms:W3CDTF">2025-11-06T21:25:15Z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0x0101002447C85A0B2EA84F91C271DF525D0016</vt:lpwstr>
  </property>
  <property fmtid="{D5CDD505-2E9C-101B-9397-08002B2CF9AE}" pid="3" name="MediaServiceImageTags">
    <vt:lpwstr/>
  </property>
</Properties>
</file>