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mbakerintl.sharepoint.com/sites/CreechDRPPart22/Shared Documents/General 1/05_Deliverables/07_Design Data/05_Struc/04 Lateral Design/"/>
    </mc:Choice>
  </mc:AlternateContent>
  <xr:revisionPtr revIDLastSave="188" documentId="8_{2D6F8275-A3C7-4545-98FE-E6C7582D19B7}" xr6:coauthVersionLast="47" xr6:coauthVersionMax="47" xr10:uidLastSave="{6EF1B30C-0E0B-4048-8719-8D7BAC1175B5}"/>
  <bookViews>
    <workbookView xWindow="-120" yWindow="-120" windowWidth="29040" windowHeight="15720" xr2:uid="{7F163FA8-0555-4751-B373-04846ABAAB75}"/>
  </bookViews>
  <sheets>
    <sheet name="Sheet1" sheetId="1" r:id="rId1"/>
  </sheets>
  <definedNames>
    <definedName name="_xlnm.Print_Area" localSheetId="0">Sheet1!$A$22:$Y$55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K54" i="1"/>
  <c r="B54" i="1"/>
  <c r="B42" i="1" l="1"/>
  <c r="B48" i="1"/>
  <c r="B31" i="1"/>
  <c r="B32" i="1"/>
  <c r="B34" i="1" s="1"/>
  <c r="E41" i="1"/>
  <c r="E40" i="1"/>
  <c r="B11" i="1"/>
  <c r="B5" i="1"/>
  <c r="K31" i="1"/>
  <c r="K32" i="1" s="1"/>
  <c r="H31" i="1"/>
  <c r="E32" i="1"/>
  <c r="H32" i="1"/>
  <c r="E31" i="1"/>
  <c r="W51" i="1"/>
  <c r="W52" i="1" s="1"/>
  <c r="W41" i="1"/>
  <c r="W39" i="1"/>
  <c r="T51" i="1"/>
  <c r="T52" i="1" s="1"/>
  <c r="T41" i="1"/>
  <c r="T39" i="1"/>
  <c r="Q51" i="1"/>
  <c r="Q52" i="1" s="1"/>
  <c r="N51" i="1"/>
  <c r="Q41" i="1"/>
  <c r="Q39" i="1"/>
  <c r="N39" i="1"/>
  <c r="N52" i="1"/>
  <c r="N41" i="1"/>
  <c r="K41" i="1"/>
  <c r="K51" i="1"/>
  <c r="K52" i="1" s="1"/>
  <c r="K39" i="1"/>
  <c r="H51" i="1"/>
  <c r="H52" i="1" s="1"/>
  <c r="H41" i="1"/>
  <c r="H39" i="1"/>
  <c r="E51" i="1"/>
  <c r="E52" i="1" s="1"/>
  <c r="E39" i="1"/>
  <c r="B39" i="1"/>
  <c r="B51" i="1"/>
  <c r="B52" i="1" s="1"/>
  <c r="T18" i="1"/>
  <c r="T19" i="1"/>
  <c r="T20" i="1"/>
  <c r="T17" i="1"/>
  <c r="H16" i="1"/>
  <c r="T32" i="1" s="1"/>
  <c r="T45" i="1" s="1"/>
  <c r="T46" i="1" s="1"/>
  <c r="T47" i="1" s="1"/>
  <c r="T48" i="1" s="1"/>
  <c r="H9" i="1"/>
  <c r="H5" i="1"/>
  <c r="H11" i="1" s="1"/>
  <c r="E16" i="1"/>
  <c r="N54" i="1" s="1"/>
  <c r="E9" i="1"/>
  <c r="E5" i="1"/>
  <c r="Q32" i="1" l="1"/>
  <c r="Q34" i="1" s="1"/>
  <c r="N32" i="1"/>
  <c r="N45" i="1" s="1"/>
  <c r="N46" i="1" s="1"/>
  <c r="N47" i="1" s="1"/>
  <c r="N48" i="1" s="1"/>
  <c r="T54" i="1"/>
  <c r="W32" i="1"/>
  <c r="W45" i="1" s="1"/>
  <c r="W46" i="1" s="1"/>
  <c r="W47" i="1" s="1"/>
  <c r="W48" i="1" s="1"/>
  <c r="Q54" i="1"/>
  <c r="T34" i="1"/>
  <c r="T35" i="1" s="1"/>
  <c r="T36" i="1" s="1"/>
  <c r="Q45" i="1"/>
  <c r="Q46" i="1" s="1"/>
  <c r="Q47" i="1" s="1"/>
  <c r="Q48" i="1" s="1"/>
  <c r="Q40" i="1"/>
  <c r="Q42" i="1" s="1"/>
  <c r="Q35" i="1"/>
  <c r="Q36" i="1" s="1"/>
  <c r="N34" i="1"/>
  <c r="H13" i="1"/>
  <c r="E11" i="1"/>
  <c r="E13" i="1" s="1"/>
  <c r="W34" i="1" l="1"/>
  <c r="W40" i="1"/>
  <c r="W42" i="1" s="1"/>
  <c r="W35" i="1"/>
  <c r="W36" i="1" s="1"/>
  <c r="T40" i="1"/>
  <c r="T42" i="1" s="1"/>
  <c r="N40" i="1"/>
  <c r="N42" i="1" s="1"/>
  <c r="N35" i="1"/>
  <c r="N36" i="1" s="1"/>
  <c r="H17" i="1"/>
  <c r="W54" i="1" s="1"/>
  <c r="H14" i="1"/>
  <c r="E17" i="1"/>
  <c r="E14" i="1"/>
  <c r="B41" i="1" l="1"/>
  <c r="B16" i="1" l="1"/>
  <c r="B9" i="1"/>
  <c r="E54" i="1" l="1"/>
  <c r="B45" i="1"/>
  <c r="B46" i="1" s="1"/>
  <c r="B47" i="1" s="1"/>
  <c r="B13" i="1"/>
  <c r="B17" i="1" s="1"/>
  <c r="K34" i="1" l="1"/>
  <c r="K45" i="1"/>
  <c r="K46" i="1" s="1"/>
  <c r="K47" i="1" s="1"/>
  <c r="K48" i="1" s="1"/>
  <c r="E45" i="1"/>
  <c r="E46" i="1" s="1"/>
  <c r="E47" i="1" s="1"/>
  <c r="E48" i="1" s="1"/>
  <c r="E34" i="1"/>
  <c r="H34" i="1"/>
  <c r="H45" i="1"/>
  <c r="H46" i="1" s="1"/>
  <c r="H47" i="1" s="1"/>
  <c r="H48" i="1" s="1"/>
  <c r="B14" i="1"/>
  <c r="H40" i="1" l="1"/>
  <c r="H42" i="1" s="1"/>
  <c r="H35" i="1"/>
  <c r="H36" i="1" s="1"/>
  <c r="E35" i="1"/>
  <c r="E36" i="1" s="1"/>
  <c r="E42" i="1"/>
  <c r="K40" i="1"/>
  <c r="K42" i="1" s="1"/>
  <c r="K35" i="1"/>
  <c r="K36" i="1" s="1"/>
  <c r="B35" i="1"/>
  <c r="B36" i="1" s="1"/>
  <c r="B40" i="1"/>
</calcChain>
</file>

<file path=xl/sharedStrings.xml><?xml version="1.0" encoding="utf-8"?>
<sst xmlns="http://schemas.openxmlformats.org/spreadsheetml/2006/main" count="254" uniqueCount="69">
  <si>
    <t>HSS 4x4x3/8</t>
  </si>
  <si>
    <t>HSS 8x8x5/8</t>
  </si>
  <si>
    <t>Lc</t>
  </si>
  <si>
    <t>ft</t>
  </si>
  <si>
    <t>r</t>
  </si>
  <si>
    <t>in</t>
  </si>
  <si>
    <t>d</t>
  </si>
  <si>
    <t>Ag</t>
  </si>
  <si>
    <t>sq in</t>
  </si>
  <si>
    <t>bo</t>
  </si>
  <si>
    <t>Lc/r</t>
  </si>
  <si>
    <t>Ry</t>
  </si>
  <si>
    <t>Fy</t>
  </si>
  <si>
    <t>ksi</t>
  </si>
  <si>
    <t>E</t>
  </si>
  <si>
    <t>4.71 (E/RyFy)^.5</t>
  </si>
  <si>
    <t>Fe</t>
  </si>
  <si>
    <t>Fne</t>
  </si>
  <si>
    <t>SC</t>
  </si>
  <si>
    <t>GUSS</t>
  </si>
  <si>
    <t>BP Leng</t>
  </si>
  <si>
    <t>M</t>
  </si>
  <si>
    <t>Pn</t>
  </si>
  <si>
    <t>kip</t>
  </si>
  <si>
    <t>T</t>
  </si>
  <si>
    <t>C high</t>
  </si>
  <si>
    <t>C low</t>
  </si>
  <si>
    <t>HSS5x5x1/2</t>
  </si>
  <si>
    <t>N/A</t>
  </si>
  <si>
    <t>RyFyAg</t>
  </si>
  <si>
    <t>HSS6x6x1/2</t>
  </si>
  <si>
    <t>(1/.877)*Fne*Ag</t>
  </si>
  <si>
    <t>HSS8x8x5/8</t>
  </si>
  <si>
    <t>Base Plate</t>
  </si>
  <si>
    <t>SC1</t>
  </si>
  <si>
    <t>SC2</t>
  </si>
  <si>
    <t>SC3</t>
  </si>
  <si>
    <t>SC4</t>
  </si>
  <si>
    <t>SC5</t>
  </si>
  <si>
    <t>SC6</t>
  </si>
  <si>
    <t>Gr Anchor</t>
  </si>
  <si>
    <t>tp</t>
  </si>
  <si>
    <t>N</t>
  </si>
  <si>
    <t>Brace angle</t>
  </si>
  <si>
    <t>deg from horiz</t>
  </si>
  <si>
    <t>P(DL)</t>
  </si>
  <si>
    <t>P(E)</t>
  </si>
  <si>
    <t>Pu Column</t>
  </si>
  <si>
    <t>Tension</t>
  </si>
  <si>
    <t>k</t>
  </si>
  <si>
    <t># Anchors</t>
  </si>
  <si>
    <t>Pu anchor</t>
  </si>
  <si>
    <t>As rod</t>
  </si>
  <si>
    <t>phi rod</t>
  </si>
  <si>
    <t>Check base plate in bending to confirm rigid body assumption</t>
  </si>
  <si>
    <t>e</t>
  </si>
  <si>
    <t>Mu</t>
  </si>
  <si>
    <t>k-in</t>
  </si>
  <si>
    <t>Z</t>
  </si>
  <si>
    <t>cu in</t>
  </si>
  <si>
    <t>stress</t>
  </si>
  <si>
    <t>Embed plate</t>
  </si>
  <si>
    <t>wu</t>
  </si>
  <si>
    <t>Zx</t>
  </si>
  <si>
    <t>t</t>
  </si>
  <si>
    <t>Conc Breakout</t>
  </si>
  <si>
    <t>phi Vc</t>
  </si>
  <si>
    <t>Shear</t>
  </si>
  <si>
    <t>See shear lug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</si>
</sst>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4" fontId="0" fillId="3" borderId="0" xfId="0" applyNumberFormat="1" applyFill="1"/>
    <xf numFmtId="2" fontId="0" fillId="0" borderId="0" xfId="0" applyNumberFormat="1" applyAlignment="1">
      <alignment horizontal="right" indent="1"/>
    </xf>
    <xf numFmtId="0" fontId="1" fillId="0" borderId="0" xfId="0" applyFont="1" applyAlignment="1">
      <alignment horizontal="center"/>
    </xf>
    <xf numFmtId="2" fontId="0" fillId="3" borderId="0" xfId="0" applyNumberFormat="1" applyFill="1" applyAlignment="1">
      <alignment horizontal="right" indent="1"/>
    </xf>
    <xf numFmtId="0" fontId="4" fillId="0" borderId="0" xfId="0" applyFont="1" applyAlignment="1">
      <alignment horizontal="center"/>
    </xf>
    <xf numFmtId="1" fontId="0" fillId="2" borderId="0" xfId="0" applyNumberFormat="1" applyFill="1"/>
    <xf numFmtId="0" fontId="3" fillId="0" borderId="0" xfId="0" applyFont="1" applyAlignment="1">
      <alignment horizontal="left"/>
    </xf>
    <xf numFmtId="2" fontId="0" fillId="3" borderId="0" xfId="0" applyNumberFormat="1" applyFill="1"/>
  </cellXfs>
  <cellStyles count="1">
    <cellStyle name="Normal" xfId="0" builtinId="0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1898-3D96-4FD2-A53C-87582D30AF40}">
  <sheetPr>
    <pageSetUpPr fitToPage="1"/>
  </sheetPr>
  <dimension ref="A1:AA55"/>
  <sheetViews>
    <sheetView tabSelected="1" topLeftCell="A24" zoomScaleNormal="100" workbookViewId="0">
      <selection activeCell="Y53" sqref="Y53"/>
    </sheetView>
  </sheetViews>
  <sheetFormatPr defaultRowHeight="15"/>
  <cols>
    <col min="1" max="1" width="14.7109375" bestFit="1" customWidth="1"/>
    <col min="2" max="2" width="9.5703125" customWidth="1"/>
    <col min="10" max="10" width="10.42578125" customWidth="1"/>
    <col min="12" max="12" width="12.140625" customWidth="1"/>
    <col min="13" max="24" width="9.140625" hidden="1" customWidth="1"/>
  </cols>
  <sheetData>
    <row r="1" spans="1:20">
      <c r="B1" t="s">
        <v>0</v>
      </c>
      <c r="E1" t="s">
        <v>1</v>
      </c>
      <c r="H1" t="s">
        <v>1</v>
      </c>
    </row>
    <row r="2" spans="1:20">
      <c r="A2" t="s">
        <v>2</v>
      </c>
      <c r="B2" s="1">
        <v>11.75</v>
      </c>
      <c r="C2" t="s">
        <v>3</v>
      </c>
      <c r="E2" s="1">
        <v>36</v>
      </c>
      <c r="F2" t="s">
        <v>3</v>
      </c>
      <c r="H2" s="1">
        <v>44</v>
      </c>
      <c r="I2" t="s">
        <v>3</v>
      </c>
    </row>
    <row r="3" spans="1:20">
      <c r="A3" t="s">
        <v>4</v>
      </c>
      <c r="B3" s="1">
        <v>1.47</v>
      </c>
      <c r="C3" t="s">
        <v>5</v>
      </c>
      <c r="E3" s="1">
        <v>2.99</v>
      </c>
      <c r="F3" t="s">
        <v>5</v>
      </c>
      <c r="H3" s="1">
        <v>2.99</v>
      </c>
      <c r="I3" t="s">
        <v>5</v>
      </c>
      <c r="K3" s="4" t="s">
        <v>6</v>
      </c>
      <c r="L3">
        <v>27</v>
      </c>
    </row>
    <row r="4" spans="1:20">
      <c r="A4" t="s">
        <v>7</v>
      </c>
      <c r="B4" s="1">
        <v>4.78</v>
      </c>
      <c r="C4" t="s">
        <v>8</v>
      </c>
      <c r="E4" s="1">
        <v>16.399999999999999</v>
      </c>
      <c r="F4" t="s">
        <v>8</v>
      </c>
      <c r="H4" s="1">
        <v>16.399999999999999</v>
      </c>
      <c r="I4" t="s">
        <v>8</v>
      </c>
      <c r="K4" s="4" t="s">
        <v>9</v>
      </c>
    </row>
    <row r="5" spans="1:20">
      <c r="A5" t="s">
        <v>10</v>
      </c>
      <c r="B5">
        <f>B2*12/B3</f>
        <v>95.91836734693878</v>
      </c>
      <c r="E5">
        <f>E2*12/E3</f>
        <v>144.48160535117057</v>
      </c>
      <c r="H5">
        <f>H2*12/H3</f>
        <v>176.58862876254179</v>
      </c>
    </row>
    <row r="6" spans="1:20">
      <c r="A6" t="s">
        <v>11</v>
      </c>
      <c r="B6" s="1">
        <v>1.3</v>
      </c>
      <c r="E6" s="1">
        <v>1.3</v>
      </c>
      <c r="H6" s="1">
        <v>1.3</v>
      </c>
    </row>
    <row r="7" spans="1:20">
      <c r="A7" t="s">
        <v>12</v>
      </c>
      <c r="B7" s="1">
        <v>50</v>
      </c>
      <c r="C7" t="s">
        <v>13</v>
      </c>
      <c r="E7" s="1">
        <v>50</v>
      </c>
      <c r="F7" t="s">
        <v>13</v>
      </c>
      <c r="H7" s="1">
        <v>50</v>
      </c>
      <c r="I7" t="s">
        <v>13</v>
      </c>
    </row>
    <row r="8" spans="1:20">
      <c r="A8" t="s">
        <v>14</v>
      </c>
      <c r="B8">
        <v>29000</v>
      </c>
      <c r="C8" t="s">
        <v>13</v>
      </c>
      <c r="E8">
        <v>29000</v>
      </c>
      <c r="F8" t="s">
        <v>13</v>
      </c>
      <c r="H8">
        <v>29000</v>
      </c>
      <c r="I8" t="s">
        <v>13</v>
      </c>
    </row>
    <row r="9" spans="1:20">
      <c r="A9" t="s">
        <v>15</v>
      </c>
      <c r="B9">
        <f>4.71*(B8/(B6*B7))^0.5</f>
        <v>99.486288193205496</v>
      </c>
      <c r="E9">
        <f>4.71*(E8/(E6*E7))^0.5</f>
        <v>99.486288193205496</v>
      </c>
      <c r="H9">
        <f>4.71*(H8/(H6*H7))^0.5</f>
        <v>99.486288193205496</v>
      </c>
    </row>
    <row r="11" spans="1:20">
      <c r="A11" t="s">
        <v>16</v>
      </c>
      <c r="B11">
        <f>PI()^2*B8/(B5)^2</f>
        <v>31.109582835828469</v>
      </c>
      <c r="C11" t="s">
        <v>13</v>
      </c>
      <c r="E11">
        <f>PI()^2*E8/(E5)^2</f>
        <v>13.711110354933929</v>
      </c>
      <c r="F11" t="s">
        <v>13</v>
      </c>
      <c r="H11">
        <f>PI()^2*H8/(H5)^2</f>
        <v>9.1785118904929632</v>
      </c>
      <c r="I11" t="s">
        <v>13</v>
      </c>
    </row>
    <row r="13" spans="1:20">
      <c r="A13" t="s">
        <v>17</v>
      </c>
      <c r="B13">
        <f>IF(B5&gt;B9,0.877*B11,(0.658^(B6*B7/B11))*B6*B7)</f>
        <v>27.109197161085408</v>
      </c>
      <c r="C13" t="s">
        <v>13</v>
      </c>
      <c r="E13">
        <f>IF(E5&gt;E9,0.877*E11,(0.658^(E6*E7/E11))*E6*E7)</f>
        <v>12.024643781277057</v>
      </c>
      <c r="F13" t="s">
        <v>13</v>
      </c>
      <c r="H13">
        <f>IF(H5&gt;H9,0.877*H11,(0.658^(H6*H7/H11))*H6*H7)</f>
        <v>8.049554927962328</v>
      </c>
      <c r="I13" t="s">
        <v>13</v>
      </c>
      <c r="Q13" t="s">
        <v>18</v>
      </c>
      <c r="R13" t="s">
        <v>19</v>
      </c>
      <c r="S13" t="s">
        <v>20</v>
      </c>
      <c r="T13" t="s">
        <v>21</v>
      </c>
    </row>
    <row r="14" spans="1:20">
      <c r="A14" t="s">
        <v>22</v>
      </c>
      <c r="B14" s="2">
        <f>B13*B4</f>
        <v>129.58196242998827</v>
      </c>
      <c r="C14" t="s">
        <v>23</v>
      </c>
      <c r="E14" s="2">
        <f>E13*E4</f>
        <v>197.20415801294371</v>
      </c>
      <c r="F14" t="s">
        <v>23</v>
      </c>
      <c r="H14" s="2">
        <f>H13*H4</f>
        <v>132.01270081858218</v>
      </c>
      <c r="I14" t="s">
        <v>23</v>
      </c>
      <c r="M14" t="s">
        <v>24</v>
      </c>
      <c r="N14" t="s">
        <v>25</v>
      </c>
      <c r="O14" t="s">
        <v>26</v>
      </c>
      <c r="Q14" s="9"/>
      <c r="R14" s="9"/>
      <c r="S14" s="9"/>
    </row>
    <row r="15" spans="1:20">
      <c r="L15" t="s">
        <v>27</v>
      </c>
      <c r="M15" s="9">
        <v>512.20000000000005</v>
      </c>
      <c r="N15" s="9" t="s">
        <v>28</v>
      </c>
      <c r="O15" s="9" t="s">
        <v>28</v>
      </c>
      <c r="Q15" s="9"/>
      <c r="R15" s="9"/>
      <c r="S15" s="9"/>
    </row>
    <row r="16" spans="1:20">
      <c r="A16" t="s">
        <v>29</v>
      </c>
      <c r="B16">
        <f>B6*B7*B4</f>
        <v>310.7</v>
      </c>
      <c r="C16" t="s">
        <v>23</v>
      </c>
      <c r="E16">
        <f>E6*E7*E4</f>
        <v>1066</v>
      </c>
      <c r="F16" t="s">
        <v>23</v>
      </c>
      <c r="H16">
        <f>H6*H7*H4</f>
        <v>1066</v>
      </c>
      <c r="I16" t="s">
        <v>23</v>
      </c>
      <c r="L16" t="s">
        <v>30</v>
      </c>
      <c r="M16" s="9">
        <v>633.1</v>
      </c>
      <c r="N16" s="9">
        <v>578</v>
      </c>
      <c r="O16" s="9">
        <v>123</v>
      </c>
      <c r="Q16" s="9"/>
      <c r="R16" s="9"/>
      <c r="S16" s="9"/>
    </row>
    <row r="17" spans="1:27">
      <c r="A17" t="s">
        <v>31</v>
      </c>
      <c r="B17" s="2">
        <f>(1/0.877)*B13*B4</f>
        <v>147.75594347775171</v>
      </c>
      <c r="C17" t="s">
        <v>23</v>
      </c>
      <c r="E17" s="2">
        <f>(1/0.877)*E13*E4</f>
        <v>224.86220982091643</v>
      </c>
      <c r="F17" t="s">
        <v>23</v>
      </c>
      <c r="H17" s="2">
        <f>(1/0.877)*H13*H4</f>
        <v>150.52759500408459</v>
      </c>
      <c r="I17" t="s">
        <v>23</v>
      </c>
      <c r="L17" t="s">
        <v>32</v>
      </c>
      <c r="M17" s="9">
        <v>1066</v>
      </c>
      <c r="N17" s="9" t="s">
        <v>28</v>
      </c>
      <c r="O17" s="9" t="s">
        <v>28</v>
      </c>
      <c r="P17" s="9"/>
      <c r="Q17" s="9">
        <v>10</v>
      </c>
      <c r="R17" s="9">
        <v>27</v>
      </c>
      <c r="S17" s="9">
        <v>22</v>
      </c>
      <c r="T17" s="9">
        <f>S17+15</f>
        <v>37</v>
      </c>
    </row>
    <row r="18" spans="1:27">
      <c r="Q18" s="9">
        <v>7</v>
      </c>
      <c r="R18" s="9">
        <v>41</v>
      </c>
      <c r="S18" s="9">
        <v>23</v>
      </c>
      <c r="T18" s="9">
        <f t="shared" ref="T18:T20" si="0">S18+15</f>
        <v>38</v>
      </c>
    </row>
    <row r="19" spans="1:27">
      <c r="Q19" s="9">
        <v>8</v>
      </c>
      <c r="R19" s="9">
        <v>34</v>
      </c>
      <c r="S19" s="9">
        <v>28</v>
      </c>
      <c r="T19" s="9">
        <f t="shared" si="0"/>
        <v>43</v>
      </c>
    </row>
    <row r="20" spans="1:27">
      <c r="Q20" s="9">
        <v>9</v>
      </c>
      <c r="R20" s="9">
        <v>26</v>
      </c>
      <c r="S20" s="9">
        <v>20</v>
      </c>
      <c r="T20" s="9">
        <f t="shared" si="0"/>
        <v>35</v>
      </c>
    </row>
    <row r="22" spans="1:27" ht="18.75">
      <c r="A22" s="3" t="s">
        <v>33</v>
      </c>
      <c r="B22" s="14" t="s">
        <v>34</v>
      </c>
      <c r="C22" s="12"/>
      <c r="D22" s="12"/>
      <c r="E22" s="12" t="s">
        <v>34</v>
      </c>
      <c r="F22" s="12"/>
      <c r="G22" s="12"/>
      <c r="H22" s="12" t="s">
        <v>35</v>
      </c>
      <c r="I22" s="12"/>
      <c r="J22" s="12"/>
      <c r="K22" s="12" t="s">
        <v>36</v>
      </c>
      <c r="L22" s="12"/>
      <c r="M22" s="12"/>
      <c r="N22" s="12" t="s">
        <v>36</v>
      </c>
      <c r="O22" s="12"/>
      <c r="P22" s="12"/>
      <c r="Q22" s="12" t="s">
        <v>37</v>
      </c>
      <c r="R22" s="12"/>
      <c r="S22" s="12"/>
      <c r="T22" s="12" t="s">
        <v>38</v>
      </c>
      <c r="U22" s="12"/>
      <c r="V22" s="12"/>
      <c r="W22" s="12" t="s">
        <v>39</v>
      </c>
      <c r="X22" s="12"/>
      <c r="Y22" s="12"/>
      <c r="Z22" s="12"/>
      <c r="AA22" s="12"/>
    </row>
    <row r="24" spans="1:27">
      <c r="A24" t="s">
        <v>40</v>
      </c>
      <c r="B24" s="1">
        <v>105</v>
      </c>
      <c r="C24" t="s">
        <v>13</v>
      </c>
      <c r="E24" s="1">
        <v>105</v>
      </c>
      <c r="F24" t="s">
        <v>13</v>
      </c>
      <c r="H24" s="1">
        <v>105</v>
      </c>
      <c r="I24" t="s">
        <v>13</v>
      </c>
      <c r="K24" s="1">
        <v>105</v>
      </c>
      <c r="L24" t="s">
        <v>13</v>
      </c>
      <c r="N24" s="1">
        <v>105</v>
      </c>
      <c r="O24" t="s">
        <v>13</v>
      </c>
      <c r="Q24" s="1">
        <v>105</v>
      </c>
      <c r="R24" t="s">
        <v>13</v>
      </c>
      <c r="T24" s="1">
        <v>105</v>
      </c>
      <c r="U24" t="s">
        <v>13</v>
      </c>
      <c r="W24" s="1">
        <v>105</v>
      </c>
      <c r="X24" t="s">
        <v>13</v>
      </c>
    </row>
    <row r="25" spans="1:27">
      <c r="A25" t="s">
        <v>41</v>
      </c>
      <c r="B25" s="1">
        <v>1.875</v>
      </c>
      <c r="C25" t="s">
        <v>5</v>
      </c>
      <c r="E25" s="1">
        <v>1.5</v>
      </c>
      <c r="F25" t="s">
        <v>5</v>
      </c>
      <c r="H25" s="1">
        <v>1.75</v>
      </c>
      <c r="I25" t="s">
        <v>5</v>
      </c>
      <c r="K25" s="1">
        <v>1.875</v>
      </c>
      <c r="L25" t="s">
        <v>5</v>
      </c>
      <c r="N25" s="1">
        <v>1.5</v>
      </c>
      <c r="O25" t="s">
        <v>5</v>
      </c>
      <c r="Q25" s="1">
        <v>1.5</v>
      </c>
      <c r="R25" t="s">
        <v>5</v>
      </c>
      <c r="T25" s="1">
        <v>1.5</v>
      </c>
      <c r="U25" t="s">
        <v>5</v>
      </c>
      <c r="W25" s="1">
        <v>1.5</v>
      </c>
      <c r="X25" t="s">
        <v>5</v>
      </c>
    </row>
    <row r="26" spans="1:27">
      <c r="A26" t="s">
        <v>21</v>
      </c>
      <c r="B26" s="1">
        <v>48</v>
      </c>
      <c r="C26" t="s">
        <v>5</v>
      </c>
      <c r="E26" s="1">
        <v>30</v>
      </c>
      <c r="H26" s="1">
        <v>48</v>
      </c>
      <c r="K26" s="1">
        <v>45</v>
      </c>
      <c r="N26" s="1">
        <v>40</v>
      </c>
      <c r="Q26" s="1">
        <v>40</v>
      </c>
      <c r="T26" s="1">
        <v>36</v>
      </c>
      <c r="W26" s="1">
        <v>50</v>
      </c>
    </row>
    <row r="27" spans="1:27">
      <c r="A27" t="s">
        <v>42</v>
      </c>
      <c r="B27" s="1">
        <v>20</v>
      </c>
      <c r="C27" t="s">
        <v>5</v>
      </c>
      <c r="E27" s="1">
        <v>20</v>
      </c>
      <c r="H27" s="1">
        <v>20</v>
      </c>
      <c r="K27" s="1">
        <v>20</v>
      </c>
      <c r="N27" s="1">
        <v>20</v>
      </c>
      <c r="Q27" s="1">
        <v>20</v>
      </c>
      <c r="T27" s="1">
        <v>20</v>
      </c>
      <c r="W27" s="1">
        <v>20</v>
      </c>
    </row>
    <row r="28" spans="1:27">
      <c r="A28" t="s">
        <v>43</v>
      </c>
      <c r="B28" s="1">
        <v>52.81</v>
      </c>
      <c r="C28" t="s">
        <v>44</v>
      </c>
      <c r="E28" s="1">
        <v>52.81</v>
      </c>
      <c r="F28" t="s">
        <v>44</v>
      </c>
      <c r="H28" s="1">
        <v>50.96</v>
      </c>
      <c r="I28" t="s">
        <v>44</v>
      </c>
      <c r="K28" s="1">
        <v>55.51</v>
      </c>
      <c r="L28" t="s">
        <v>44</v>
      </c>
      <c r="N28" s="1">
        <v>52</v>
      </c>
      <c r="O28" t="s">
        <v>44</v>
      </c>
      <c r="Q28" s="1">
        <v>39.5</v>
      </c>
      <c r="R28" t="s">
        <v>44</v>
      </c>
      <c r="T28" s="1">
        <v>58</v>
      </c>
      <c r="U28" t="s">
        <v>44</v>
      </c>
      <c r="W28" s="1">
        <v>48.4</v>
      </c>
      <c r="X28" t="s">
        <v>44</v>
      </c>
    </row>
    <row r="29" spans="1:27">
      <c r="A29" t="s">
        <v>45</v>
      </c>
      <c r="B29" s="1">
        <v>28</v>
      </c>
      <c r="E29" s="1">
        <v>1</v>
      </c>
      <c r="H29" s="1">
        <v>28</v>
      </c>
      <c r="K29" s="1">
        <v>86</v>
      </c>
      <c r="N29" s="1"/>
      <c r="Q29" s="1"/>
      <c r="T29" s="1"/>
      <c r="W29" s="1"/>
    </row>
    <row r="30" spans="1:27">
      <c r="A30" t="s">
        <v>46</v>
      </c>
      <c r="B30" s="1">
        <v>35</v>
      </c>
      <c r="E30" s="1">
        <v>29</v>
      </c>
      <c r="H30" s="1">
        <v>17</v>
      </c>
      <c r="K30" s="1">
        <v>45</v>
      </c>
      <c r="N30" s="1"/>
      <c r="Q30" s="1"/>
      <c r="T30" s="1"/>
      <c r="W30" s="1"/>
    </row>
    <row r="31" spans="1:27">
      <c r="A31" t="s">
        <v>47</v>
      </c>
      <c r="B31" s="15">
        <f>-0.782*B29+2*B30</f>
        <v>48.103999999999999</v>
      </c>
      <c r="E31" s="15">
        <f>-0.782*E29+2*E30</f>
        <v>57.218000000000004</v>
      </c>
      <c r="H31" s="15">
        <f>-0.782*H29+2*H30</f>
        <v>12.103999999999999</v>
      </c>
      <c r="K31" s="15">
        <f>-0.782*K29+2*K30</f>
        <v>22.74799999999999</v>
      </c>
      <c r="N31" s="1"/>
      <c r="Q31" s="1"/>
      <c r="T31" s="1"/>
      <c r="W31" s="1"/>
    </row>
    <row r="32" spans="1:27">
      <c r="A32" t="s">
        <v>48</v>
      </c>
      <c r="B32" s="5">
        <f>SIN(RADIANS(B28))*E16+B31</f>
        <v>897.317366614604</v>
      </c>
      <c r="C32" t="s">
        <v>49</v>
      </c>
      <c r="E32" s="5">
        <f>SIN(RADIANS(E28))*B16+E31</f>
        <v>304.7326275864516</v>
      </c>
      <c r="F32" t="s">
        <v>49</v>
      </c>
      <c r="H32" s="5">
        <f>SIN(RADIANS(H28))*E16+H31</f>
        <v>840.07304754902839</v>
      </c>
      <c r="I32" t="s">
        <v>49</v>
      </c>
      <c r="K32" s="5">
        <f>SIN(RADIANS(K28))*H16+K31</f>
        <v>901.37188475878042</v>
      </c>
      <c r="L32" t="s">
        <v>49</v>
      </c>
      <c r="N32" s="5">
        <f>SIN(RADIANS(N28))*E16</f>
        <v>840.01946334476565</v>
      </c>
      <c r="O32" t="s">
        <v>49</v>
      </c>
      <c r="Q32" s="5">
        <f>SIN(RADIANS(Q28))*H16</f>
        <v>678.05938281609633</v>
      </c>
      <c r="R32" t="s">
        <v>49</v>
      </c>
      <c r="T32" s="5">
        <f>SIN(RADIANS(T28))*H16</f>
        <v>904.01927050275003</v>
      </c>
      <c r="U32" t="s">
        <v>49</v>
      </c>
      <c r="W32" s="5">
        <f>SIN(RADIANS(W28))*H16</f>
        <v>797.15276447143492</v>
      </c>
      <c r="X32" t="s">
        <v>49</v>
      </c>
    </row>
    <row r="33" spans="1:27">
      <c r="A33" t="s">
        <v>50</v>
      </c>
      <c r="B33" s="1">
        <v>10</v>
      </c>
      <c r="E33" s="1">
        <v>6</v>
      </c>
      <c r="H33" s="1">
        <v>6</v>
      </c>
      <c r="K33" s="1">
        <v>6</v>
      </c>
      <c r="N33" s="1">
        <v>6</v>
      </c>
      <c r="Q33" s="1">
        <v>6</v>
      </c>
      <c r="T33" s="1">
        <v>6</v>
      </c>
      <c r="W33" s="1">
        <v>6</v>
      </c>
    </row>
    <row r="34" spans="1:27">
      <c r="A34" t="s">
        <v>51</v>
      </c>
      <c r="B34" s="5">
        <f>B32/B33</f>
        <v>89.731736661460403</v>
      </c>
      <c r="C34" t="s">
        <v>49</v>
      </c>
      <c r="E34" s="5">
        <f>E32/E33</f>
        <v>50.788771264408602</v>
      </c>
      <c r="F34" t="s">
        <v>49</v>
      </c>
      <c r="H34" s="5">
        <f>H32/H33</f>
        <v>140.01217459150473</v>
      </c>
      <c r="I34" t="s">
        <v>49</v>
      </c>
      <c r="K34" s="5">
        <f>K32/K33</f>
        <v>150.22864745979675</v>
      </c>
      <c r="L34" t="s">
        <v>49</v>
      </c>
      <c r="N34" s="5">
        <f>N32/N33</f>
        <v>140.00324389079427</v>
      </c>
      <c r="O34" t="s">
        <v>49</v>
      </c>
      <c r="Q34" s="5">
        <f>Q32/Q33</f>
        <v>113.00989713601605</v>
      </c>
      <c r="R34" t="s">
        <v>49</v>
      </c>
      <c r="T34" s="5">
        <f>T32/T33</f>
        <v>150.66987841712501</v>
      </c>
      <c r="U34" t="s">
        <v>49</v>
      </c>
      <c r="W34" s="5">
        <f>W32/W33</f>
        <v>132.85879407857249</v>
      </c>
      <c r="X34" t="s">
        <v>49</v>
      </c>
    </row>
    <row r="35" spans="1:27">
      <c r="A35" t="s">
        <v>52</v>
      </c>
      <c r="B35" s="11">
        <f>B34/(0.9*B24)</f>
        <v>0.94954218689376091</v>
      </c>
      <c r="C35" t="s">
        <v>8</v>
      </c>
      <c r="E35" s="11">
        <f>E34/(0.9*E24)</f>
        <v>0.53744731496728682</v>
      </c>
      <c r="F35" t="s">
        <v>8</v>
      </c>
      <c r="H35" s="11">
        <f>H34/(0.9*H24)</f>
        <v>1.4816103131376162</v>
      </c>
      <c r="I35" t="s">
        <v>8</v>
      </c>
      <c r="K35" s="11">
        <f>K34/(0.9*K24)</f>
        <v>1.5897211371407063</v>
      </c>
      <c r="L35" t="s">
        <v>8</v>
      </c>
      <c r="N35" s="11">
        <f>N34/(0.9*N24)</f>
        <v>1.4815158083681932</v>
      </c>
      <c r="O35" t="s">
        <v>8</v>
      </c>
      <c r="Q35" s="11">
        <f>Q34/(0.9*Q24)</f>
        <v>1.1958719273652492</v>
      </c>
      <c r="R35" t="s">
        <v>8</v>
      </c>
      <c r="T35" s="11">
        <f>T34/(0.9*T24)</f>
        <v>1.5943902478002645</v>
      </c>
      <c r="U35" t="s">
        <v>8</v>
      </c>
      <c r="W35" s="11">
        <f>W34/(0.9*W24)</f>
        <v>1.4059131648526189</v>
      </c>
      <c r="X35" t="s">
        <v>8</v>
      </c>
    </row>
    <row r="36" spans="1:27">
      <c r="A36" t="s">
        <v>53</v>
      </c>
      <c r="B36" s="13">
        <f>2*(B35/PI())^0.5</f>
        <v>1.0995429331078632</v>
      </c>
      <c r="C36" t="s">
        <v>8</v>
      </c>
      <c r="E36" s="13">
        <f>2*(E35/PI())^0.5</f>
        <v>0.82722377542481451</v>
      </c>
      <c r="F36" t="s">
        <v>8</v>
      </c>
      <c r="H36" s="13">
        <f>2*(H35/PI())^0.5</f>
        <v>1.3734791008873271</v>
      </c>
      <c r="I36" t="s">
        <v>8</v>
      </c>
      <c r="K36" s="13">
        <f>2*(K35/PI())^0.5</f>
        <v>1.4227072140496435</v>
      </c>
      <c r="L36" t="s">
        <v>8</v>
      </c>
      <c r="N36" s="13">
        <f>2*(N35/PI())^0.5</f>
        <v>1.3734352963880989</v>
      </c>
      <c r="O36" t="s">
        <v>8</v>
      </c>
      <c r="Q36" s="13">
        <f>2*(Q35/PI())^0.5</f>
        <v>1.2339495242351251</v>
      </c>
      <c r="R36" t="s">
        <v>8</v>
      </c>
      <c r="T36" s="13">
        <f>2*(T35/PI())^0.5</f>
        <v>1.4247949723519493</v>
      </c>
      <c r="U36" t="s">
        <v>8</v>
      </c>
      <c r="W36" s="13">
        <f>2*(W35/PI())^0.5</f>
        <v>1.3379328226611829</v>
      </c>
      <c r="X36" t="s">
        <v>8</v>
      </c>
      <c r="AA36">
        <v>31</v>
      </c>
    </row>
    <row r="38" spans="1:27">
      <c r="A38" t="s">
        <v>54</v>
      </c>
    </row>
    <row r="39" spans="1:27">
      <c r="A39" s="6" t="s">
        <v>55</v>
      </c>
      <c r="B39">
        <f>7.5-10.5/2-1/2</f>
        <v>1.75</v>
      </c>
      <c r="C39" t="s">
        <v>5</v>
      </c>
      <c r="E39">
        <f>7.5-10.5/2-1/2</f>
        <v>1.75</v>
      </c>
      <c r="F39" t="s">
        <v>5</v>
      </c>
      <c r="H39">
        <f>7.5-10.5/2-1/2</f>
        <v>1.75</v>
      </c>
      <c r="I39" t="s">
        <v>5</v>
      </c>
      <c r="K39">
        <f>7.5-10.5/2-1/2</f>
        <v>1.75</v>
      </c>
      <c r="L39" t="s">
        <v>5</v>
      </c>
      <c r="N39">
        <f>7.5-10.5/2-1/2</f>
        <v>1.75</v>
      </c>
      <c r="O39" t="s">
        <v>5</v>
      </c>
      <c r="Q39">
        <f>7.5-10.5/2-1/2</f>
        <v>1.75</v>
      </c>
      <c r="R39" t="s">
        <v>5</v>
      </c>
      <c r="T39">
        <f>7.5-10.5/2-1/2</f>
        <v>1.75</v>
      </c>
      <c r="U39" t="s">
        <v>5</v>
      </c>
      <c r="W39">
        <f>7.5-10.5/2-1/2</f>
        <v>1.75</v>
      </c>
      <c r="X39" t="s">
        <v>5</v>
      </c>
    </row>
    <row r="40" spans="1:27">
      <c r="A40" s="6" t="s">
        <v>56</v>
      </c>
      <c r="B40" s="8">
        <f>2*B34*B39</f>
        <v>314.06107831511139</v>
      </c>
      <c r="C40" t="s">
        <v>57</v>
      </c>
      <c r="E40" s="8">
        <f>2*E34*E39</f>
        <v>177.76069942543012</v>
      </c>
      <c r="F40" t="s">
        <v>57</v>
      </c>
      <c r="H40" s="8">
        <f>2*H34*H39</f>
        <v>490.04261107026656</v>
      </c>
      <c r="I40" t="s">
        <v>57</v>
      </c>
      <c r="K40" s="8">
        <f>2*K34*K39</f>
        <v>525.8002661092886</v>
      </c>
      <c r="L40" t="s">
        <v>57</v>
      </c>
      <c r="N40" s="8">
        <f>2*N34*N39</f>
        <v>490.01135361777995</v>
      </c>
      <c r="O40" t="s">
        <v>57</v>
      </c>
      <c r="Q40" s="8">
        <f>2*Q34*Q39</f>
        <v>395.53463997605616</v>
      </c>
      <c r="R40" t="s">
        <v>57</v>
      </c>
      <c r="T40" s="8">
        <f>2*T34*T39</f>
        <v>527.34457445993758</v>
      </c>
      <c r="U40" t="s">
        <v>57</v>
      </c>
      <c r="W40" s="8">
        <f>2*W34*W39</f>
        <v>465.0057792750037</v>
      </c>
      <c r="X40" t="s">
        <v>57</v>
      </c>
    </row>
    <row r="41" spans="1:27">
      <c r="A41" s="6" t="s">
        <v>58</v>
      </c>
      <c r="B41" s="8">
        <f>14*B25^2/4</f>
        <v>12.3046875</v>
      </c>
      <c r="C41" t="s">
        <v>59</v>
      </c>
      <c r="E41" s="8">
        <f>14*E25^2/4</f>
        <v>7.875</v>
      </c>
      <c r="F41" t="s">
        <v>59</v>
      </c>
      <c r="H41" s="8">
        <f>14*H25^2/4</f>
        <v>10.71875</v>
      </c>
      <c r="I41" t="s">
        <v>59</v>
      </c>
      <c r="K41" s="8">
        <f>14*K25^2/4</f>
        <v>12.3046875</v>
      </c>
      <c r="L41" t="s">
        <v>59</v>
      </c>
      <c r="N41" s="8">
        <f>14*N25^2/4</f>
        <v>7.875</v>
      </c>
      <c r="O41" t="s">
        <v>59</v>
      </c>
      <c r="Q41" s="8">
        <f>14*Q25^2/4</f>
        <v>7.875</v>
      </c>
      <c r="R41" t="s">
        <v>59</v>
      </c>
      <c r="T41" s="8">
        <f>14*T25^2/4</f>
        <v>7.875</v>
      </c>
      <c r="U41" t="s">
        <v>59</v>
      </c>
      <c r="W41" s="8">
        <f>14*W25^2/4</f>
        <v>7.875</v>
      </c>
      <c r="X41" t="s">
        <v>59</v>
      </c>
    </row>
    <row r="42" spans="1:27">
      <c r="A42" s="6" t="s">
        <v>60</v>
      </c>
      <c r="B42" s="7">
        <f>B40/B41</f>
        <v>25.523693983704291</v>
      </c>
      <c r="C42" t="s">
        <v>13</v>
      </c>
      <c r="E42" s="7">
        <f>E40/E41</f>
        <v>22.572787228626048</v>
      </c>
      <c r="F42" t="s">
        <v>13</v>
      </c>
      <c r="H42" s="7">
        <f>H40/H41</f>
        <v>45.718261091103585</v>
      </c>
      <c r="I42" t="s">
        <v>13</v>
      </c>
      <c r="K42" s="7">
        <f>K40/K41</f>
        <v>42.731704166342183</v>
      </c>
      <c r="L42" t="s">
        <v>13</v>
      </c>
      <c r="N42" s="7">
        <f>N40/N41</f>
        <v>62.223663951464118</v>
      </c>
      <c r="O42" t="s">
        <v>13</v>
      </c>
      <c r="Q42" s="7">
        <f>Q40/Q41</f>
        <v>50.226620949340465</v>
      </c>
      <c r="R42" t="s">
        <v>13</v>
      </c>
      <c r="T42" s="7">
        <f>T40/T41</f>
        <v>66.96439040761112</v>
      </c>
      <c r="U42" t="s">
        <v>13</v>
      </c>
      <c r="W42" s="7">
        <f>W40/W41</f>
        <v>59.048352923809993</v>
      </c>
      <c r="X42" t="s">
        <v>13</v>
      </c>
    </row>
    <row r="43" spans="1:27">
      <c r="A43" s="6"/>
    </row>
    <row r="44" spans="1:27">
      <c r="A44" s="16" t="s">
        <v>61</v>
      </c>
    </row>
    <row r="45" spans="1:27">
      <c r="A45" s="4" t="s">
        <v>62</v>
      </c>
      <c r="B45" s="8">
        <f>B32/15</f>
        <v>59.821157774306933</v>
      </c>
      <c r="C45" t="s">
        <v>57</v>
      </c>
      <c r="E45" s="8">
        <f>E32/15</f>
        <v>20.315508505763439</v>
      </c>
      <c r="F45" t="s">
        <v>57</v>
      </c>
      <c r="H45" s="8">
        <f>H32/15</f>
        <v>56.004869836601891</v>
      </c>
      <c r="I45" t="s">
        <v>57</v>
      </c>
      <c r="K45" s="8">
        <f>K32/15</f>
        <v>60.091458983918692</v>
      </c>
      <c r="L45" t="s">
        <v>57</v>
      </c>
      <c r="N45" s="8">
        <f>N32/15</f>
        <v>56.001297556317709</v>
      </c>
      <c r="O45" t="s">
        <v>57</v>
      </c>
      <c r="Q45" s="8">
        <f>Q32/15</f>
        <v>45.203958854406423</v>
      </c>
      <c r="R45" t="s">
        <v>57</v>
      </c>
      <c r="T45" s="8">
        <f>T32/15</f>
        <v>60.267951366849999</v>
      </c>
      <c r="U45" t="s">
        <v>57</v>
      </c>
      <c r="W45" s="8">
        <f>W32/15</f>
        <v>53.143517631428992</v>
      </c>
      <c r="X45" t="s">
        <v>57</v>
      </c>
    </row>
    <row r="46" spans="1:27">
      <c r="A46" s="4" t="s">
        <v>56</v>
      </c>
      <c r="B46" s="8">
        <f>B45*15^2/8</f>
        <v>1682.4700624023824</v>
      </c>
      <c r="C46" t="s">
        <v>57</v>
      </c>
      <c r="E46" s="8">
        <f>E45*15^2/8</f>
        <v>571.37367672459675</v>
      </c>
      <c r="F46" t="s">
        <v>57</v>
      </c>
      <c r="H46" s="8">
        <f>H45*15^2/8</f>
        <v>1575.1369641544281</v>
      </c>
      <c r="I46" t="s">
        <v>57</v>
      </c>
      <c r="K46" s="8">
        <f>K45*15^2/8</f>
        <v>1690.0722839227133</v>
      </c>
      <c r="L46" t="s">
        <v>57</v>
      </c>
      <c r="N46" s="8">
        <f>N45*15^2/8</f>
        <v>1575.0364937714355</v>
      </c>
      <c r="O46" t="s">
        <v>57</v>
      </c>
      <c r="Q46" s="8">
        <f>Q45*15^2/8</f>
        <v>1271.3613427801806</v>
      </c>
      <c r="R46" t="s">
        <v>57</v>
      </c>
      <c r="T46" s="8">
        <f>T45*15^2/8</f>
        <v>1695.0361321926562</v>
      </c>
      <c r="U46" t="s">
        <v>57</v>
      </c>
      <c r="W46" s="8">
        <f>W45*15^2/8</f>
        <v>1494.6614333839404</v>
      </c>
      <c r="X46" t="s">
        <v>57</v>
      </c>
    </row>
    <row r="47" spans="1:27">
      <c r="A47" s="4" t="s">
        <v>63</v>
      </c>
      <c r="B47" s="8">
        <f>B46/0.9/50</f>
        <v>37.388223608941829</v>
      </c>
      <c r="C47" t="s">
        <v>59</v>
      </c>
      <c r="E47" s="8">
        <f>E46/0.9/50</f>
        <v>12.697192816102149</v>
      </c>
      <c r="F47" t="s">
        <v>59</v>
      </c>
      <c r="H47" s="8">
        <f>H46/0.9/50</f>
        <v>35.003043647876183</v>
      </c>
      <c r="I47" t="s">
        <v>59</v>
      </c>
      <c r="K47" s="8">
        <f>K46/0.9/50</f>
        <v>37.557161864949187</v>
      </c>
      <c r="L47" t="s">
        <v>59</v>
      </c>
      <c r="N47" s="8">
        <f>N46/0.9/50</f>
        <v>35.000810972698567</v>
      </c>
      <c r="O47" t="s">
        <v>59</v>
      </c>
      <c r="Q47" s="8">
        <f>Q46/0.9/50</f>
        <v>28.252474284004016</v>
      </c>
      <c r="R47" t="s">
        <v>59</v>
      </c>
      <c r="T47" s="8">
        <f>T46/0.9/50</f>
        <v>37.667469604281244</v>
      </c>
      <c r="U47" t="s">
        <v>59</v>
      </c>
      <c r="W47" s="8">
        <f>W46/0.9/50</f>
        <v>33.214698519643122</v>
      </c>
      <c r="X47" t="s">
        <v>59</v>
      </c>
    </row>
    <row r="48" spans="1:27">
      <c r="A48" s="4" t="s">
        <v>64</v>
      </c>
      <c r="B48" s="17">
        <f>(B47*4/B26)^0.5</f>
        <v>1.7651303919952068</v>
      </c>
      <c r="C48" t="s">
        <v>5</v>
      </c>
      <c r="E48" s="17">
        <f>(E47*4/E26)^0.5</f>
        <v>1.3011375953937205</v>
      </c>
      <c r="F48" t="s">
        <v>5</v>
      </c>
      <c r="H48" s="17">
        <f>(H47*4/H26)^0.5</f>
        <v>1.7078993834502318</v>
      </c>
      <c r="I48" t="s">
        <v>5</v>
      </c>
      <c r="K48" s="17">
        <f>(K47*4/K26)^0.5</f>
        <v>1.8271328326083693</v>
      </c>
      <c r="L48" t="s">
        <v>5</v>
      </c>
      <c r="N48" s="10">
        <f>(N47*4/N26)^0.5</f>
        <v>1.8708503674184787</v>
      </c>
      <c r="O48" t="s">
        <v>5</v>
      </c>
      <c r="Q48" s="10">
        <f>(Q47*4/Q26)^0.5</f>
        <v>1.6808472352954629</v>
      </c>
      <c r="R48" t="s">
        <v>5</v>
      </c>
      <c r="T48" s="10">
        <f>(T47*4/T26)^0.5</f>
        <v>2.0457943201787647</v>
      </c>
      <c r="U48" t="s">
        <v>5</v>
      </c>
      <c r="W48" s="10">
        <f>(W47*4/W26)^0.5</f>
        <v>1.6300846240522147</v>
      </c>
      <c r="X48" t="s">
        <v>5</v>
      </c>
    </row>
    <row r="49" spans="1:24">
      <c r="A49" s="4" t="s">
        <v>65</v>
      </c>
    </row>
    <row r="50" spans="1:24">
      <c r="A50" s="4" t="s">
        <v>6</v>
      </c>
      <c r="B50">
        <v>27</v>
      </c>
      <c r="C50" t="s">
        <v>5</v>
      </c>
      <c r="E50">
        <v>27</v>
      </c>
      <c r="F50" t="s">
        <v>5</v>
      </c>
      <c r="H50">
        <v>27</v>
      </c>
      <c r="I50" t="s">
        <v>5</v>
      </c>
      <c r="K50">
        <v>27</v>
      </c>
      <c r="L50" t="s">
        <v>5</v>
      </c>
      <c r="N50">
        <v>27</v>
      </c>
      <c r="O50" t="s">
        <v>5</v>
      </c>
      <c r="Q50">
        <v>27</v>
      </c>
      <c r="R50" t="s">
        <v>5</v>
      </c>
      <c r="T50">
        <v>27</v>
      </c>
      <c r="U50" t="s">
        <v>5</v>
      </c>
      <c r="W50">
        <v>27</v>
      </c>
      <c r="X50" t="s">
        <v>5</v>
      </c>
    </row>
    <row r="51" spans="1:24">
      <c r="A51" s="4" t="s">
        <v>9</v>
      </c>
      <c r="B51">
        <f>2*(15+B50)+2*(B26-5+B50)</f>
        <v>224</v>
      </c>
      <c r="C51" t="s">
        <v>5</v>
      </c>
      <c r="E51">
        <f>2*(15+E50)+2*(E26-5+E50)</f>
        <v>188</v>
      </c>
      <c r="F51" t="s">
        <v>5</v>
      </c>
      <c r="H51">
        <f>2*(15+H50)+2*(H26-5+H50)</f>
        <v>224</v>
      </c>
      <c r="I51" t="s">
        <v>5</v>
      </c>
      <c r="K51">
        <f>2*(15+K50)+2*(K26-5+K50)</f>
        <v>218</v>
      </c>
      <c r="L51" t="s">
        <v>5</v>
      </c>
      <c r="N51">
        <f>2*(15+N50)+2*(N26-5+N50)</f>
        <v>208</v>
      </c>
      <c r="O51" t="s">
        <v>5</v>
      </c>
      <c r="Q51">
        <f>2*(15+Q50)+2*(Q26-5+Q50)</f>
        <v>208</v>
      </c>
      <c r="R51" t="s">
        <v>5</v>
      </c>
      <c r="T51">
        <f>2*(15+T50)+2*(T26-5+T50)</f>
        <v>200</v>
      </c>
      <c r="U51" t="s">
        <v>5</v>
      </c>
      <c r="W51">
        <f>2*(15+W50)+2*(W26-5+W50)</f>
        <v>228</v>
      </c>
      <c r="X51" t="s">
        <v>5</v>
      </c>
    </row>
    <row r="52" spans="1:24">
      <c r="A52" s="4" t="s">
        <v>66</v>
      </c>
      <c r="B52" s="2">
        <f>4*0.75*B50*B51*4500^0.5/1000</f>
        <v>1217.1365215126852</v>
      </c>
      <c r="C52" t="s">
        <v>49</v>
      </c>
      <c r="E52" s="2">
        <f>4*0.75*E50*E51*4500^0.5/1000</f>
        <v>1021.5252948410039</v>
      </c>
      <c r="F52" t="s">
        <v>49</v>
      </c>
      <c r="H52" s="2">
        <f>4*0.75*H50*H51*4500^0.5/1000</f>
        <v>1217.1365215126852</v>
      </c>
      <c r="I52" t="s">
        <v>49</v>
      </c>
      <c r="K52" s="2">
        <f>4*0.75*K50*K51*4500^0.5/1000</f>
        <v>1184.5346504007384</v>
      </c>
      <c r="L52" t="s">
        <v>49</v>
      </c>
      <c r="N52" s="2">
        <f>4*0.75*N50*N51*4500^0.5/1000</f>
        <v>1130.1981985474936</v>
      </c>
      <c r="O52" t="s">
        <v>49</v>
      </c>
      <c r="Q52" s="2">
        <f>4*0.75*Q50*Q51*4500^0.5/1000</f>
        <v>1130.1981985474936</v>
      </c>
      <c r="R52" t="s">
        <v>49</v>
      </c>
      <c r="T52" s="2">
        <f>4*0.75*T50*T51*4500^0.5/1000</f>
        <v>1086.7290370648977</v>
      </c>
      <c r="U52" t="s">
        <v>49</v>
      </c>
      <c r="W52" s="2">
        <f>4*0.75*W50*W51*4500^0.5/1000</f>
        <v>1238.8711022539835</v>
      </c>
      <c r="X52" t="s">
        <v>49</v>
      </c>
    </row>
    <row r="53" spans="1:24">
      <c r="A53" s="4"/>
    </row>
    <row r="54" spans="1:24">
      <c r="A54" t="s">
        <v>67</v>
      </c>
      <c r="B54" s="2">
        <f>COS(RADIANS(B28))*E16</f>
        <v>644.35445056512981</v>
      </c>
      <c r="C54" t="s">
        <v>49</v>
      </c>
      <c r="E54" s="2">
        <f>COS(RADIANS(E28))*B16</f>
        <v>187.80574839642199</v>
      </c>
      <c r="F54" t="s">
        <v>49</v>
      </c>
      <c r="H54" s="2">
        <f>COS(RADIANS(H28))*H16</f>
        <v>671.43373187586792</v>
      </c>
      <c r="I54" t="s">
        <v>49</v>
      </c>
      <c r="K54" s="2">
        <f>COS(RADIANS(K28))*H16</f>
        <v>603.63570895979092</v>
      </c>
      <c r="L54" t="s">
        <v>49</v>
      </c>
      <c r="N54" s="2">
        <f>COS(RADIANS(32.71))*E16</f>
        <v>896.94996704615539</v>
      </c>
      <c r="O54" t="s">
        <v>49</v>
      </c>
      <c r="Q54" s="2">
        <f>COS(RADIANS(Q28))*H16</f>
        <v>822.55180589130953</v>
      </c>
      <c r="R54" t="s">
        <v>49</v>
      </c>
      <c r="T54" s="2">
        <f>COS(RADIANS(48.4))*H16</f>
        <v>707.74534268728951</v>
      </c>
      <c r="U54" t="s">
        <v>49</v>
      </c>
      <c r="W54" s="2">
        <f>COS(RADIANS(W28))*H16+COS(RADIANS(W28))*H17</f>
        <v>807.6845587380019</v>
      </c>
      <c r="X54" t="s">
        <v>49</v>
      </c>
    </row>
    <row r="55" spans="1:24">
      <c r="A55" t="s">
        <v>68</v>
      </c>
    </row>
  </sheetData>
  <conditionalFormatting sqref="B42">
    <cfRule type="cellIs" dxfId="31" priority="31" operator="greaterThan">
      <formula>50</formula>
    </cfRule>
    <cfRule type="cellIs" dxfId="30" priority="32" operator="lessThan">
      <formula>50</formula>
    </cfRule>
  </conditionalFormatting>
  <conditionalFormatting sqref="B52">
    <cfRule type="cellIs" dxfId="29" priority="27" operator="lessThan">
      <formula>$B$32</formula>
    </cfRule>
    <cfRule type="cellIs" dxfId="28" priority="28" operator="greaterThan">
      <formula>$B$32</formula>
    </cfRule>
  </conditionalFormatting>
  <conditionalFormatting sqref="E42">
    <cfRule type="cellIs" dxfId="27" priority="29" operator="greaterThan">
      <formula>50</formula>
    </cfRule>
    <cfRule type="cellIs" dxfId="26" priority="30" operator="lessThan">
      <formula>50</formula>
    </cfRule>
  </conditionalFormatting>
  <conditionalFormatting sqref="E52">
    <cfRule type="cellIs" dxfId="25" priority="25" operator="lessThan">
      <formula>$B$32</formula>
    </cfRule>
    <cfRule type="cellIs" dxfId="24" priority="26" operator="greaterThan">
      <formula>$B$32</formula>
    </cfRule>
  </conditionalFormatting>
  <conditionalFormatting sqref="H42">
    <cfRule type="cellIs" dxfId="23" priority="23" operator="greaterThan">
      <formula>50</formula>
    </cfRule>
    <cfRule type="cellIs" dxfId="22" priority="24" operator="lessThan">
      <formula>50</formula>
    </cfRule>
  </conditionalFormatting>
  <conditionalFormatting sqref="H52">
    <cfRule type="cellIs" dxfId="21" priority="21" operator="lessThan">
      <formula>$B$32</formula>
    </cfRule>
    <cfRule type="cellIs" dxfId="20" priority="22" operator="greaterThan">
      <formula>$B$32</formula>
    </cfRule>
  </conditionalFormatting>
  <conditionalFormatting sqref="K42">
    <cfRule type="cellIs" dxfId="19" priority="19" operator="greaterThan">
      <formula>50</formula>
    </cfRule>
    <cfRule type="cellIs" dxfId="18" priority="20" operator="lessThan">
      <formula>50</formula>
    </cfRule>
  </conditionalFormatting>
  <conditionalFormatting sqref="K52">
    <cfRule type="cellIs" dxfId="17" priority="17" operator="lessThan">
      <formula>$B$32</formula>
    </cfRule>
    <cfRule type="cellIs" dxfId="16" priority="18" operator="greaterThan">
      <formula>$B$32</formula>
    </cfRule>
  </conditionalFormatting>
  <conditionalFormatting sqref="N42">
    <cfRule type="cellIs" dxfId="15" priority="15" operator="greaterThan">
      <formula>50</formula>
    </cfRule>
    <cfRule type="cellIs" dxfId="14" priority="16" operator="lessThan">
      <formula>50</formula>
    </cfRule>
  </conditionalFormatting>
  <conditionalFormatting sqref="N52">
    <cfRule type="cellIs" dxfId="13" priority="13" operator="lessThan">
      <formula>$B$32</formula>
    </cfRule>
    <cfRule type="cellIs" dxfId="12" priority="14" operator="greaterThan">
      <formula>$B$32</formula>
    </cfRule>
  </conditionalFormatting>
  <conditionalFormatting sqref="Q42">
    <cfRule type="cellIs" dxfId="11" priority="11" operator="greaterThan">
      <formula>50</formula>
    </cfRule>
    <cfRule type="cellIs" dxfId="10" priority="12" operator="lessThan">
      <formula>50</formula>
    </cfRule>
  </conditionalFormatting>
  <conditionalFormatting sqref="Q52">
    <cfRule type="cellIs" dxfId="9" priority="9" operator="lessThan">
      <formula>$B$32</formula>
    </cfRule>
    <cfRule type="cellIs" dxfId="8" priority="10" operator="greaterThan">
      <formula>$B$32</formula>
    </cfRule>
  </conditionalFormatting>
  <conditionalFormatting sqref="T42">
    <cfRule type="cellIs" dxfId="7" priority="7" operator="greaterThan">
      <formula>50</formula>
    </cfRule>
    <cfRule type="cellIs" dxfId="6" priority="8" operator="lessThan">
      <formula>50</formula>
    </cfRule>
  </conditionalFormatting>
  <conditionalFormatting sqref="T52">
    <cfRule type="cellIs" dxfId="5" priority="5" operator="lessThan">
      <formula>$B$32</formula>
    </cfRule>
    <cfRule type="cellIs" dxfId="4" priority="6" operator="greaterThan">
      <formula>$B$32</formula>
    </cfRule>
  </conditionalFormatting>
  <conditionalFormatting sqref="W42">
    <cfRule type="cellIs" dxfId="3" priority="3" operator="greaterThan">
      <formula>50</formula>
    </cfRule>
    <cfRule type="cellIs" dxfId="2" priority="4" operator="lessThan">
      <formula>50</formula>
    </cfRule>
  </conditionalFormatting>
  <conditionalFormatting sqref="W52">
    <cfRule type="cellIs" dxfId="1" priority="1" operator="lessThan">
      <formula>$B$32</formula>
    </cfRule>
    <cfRule type="cellIs" dxfId="0" priority="2" operator="greaterThan">
      <formula>$B$32</formula>
    </cfRule>
  </conditionalFormatting>
  <pageMargins left="0.7" right="0.7" top="0.75" bottom="0.7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251a52-8693-448d-8001-12d99300ff9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5dd0b85f-3f9f-4ef5-8fd4-f31adc5d13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47C85A0B2EA84F91C271DF525D0016" ma:contentTypeVersion="12" ma:contentTypeDescription="Create a new document." ma:contentTypeScope="" ma:versionID="83d23f23841c024d489046b381158ae5">
  <xsd:schema xmlns:xsd="http://www.w3.org/2001/XMLSchema" xmlns:xs="http://www.w3.org/2001/XMLSchema" xmlns:p="http://schemas.microsoft.com/office/2006/metadata/properties" xmlns:ns1="http://schemas.microsoft.com/sharepoint/v3" xmlns:ns2="82251a52-8693-448d-8001-12d99300ff98" xmlns:ns3="5dd0b85f-3f9f-4ef5-8fd4-f31adc5d1305" targetNamespace="http://schemas.microsoft.com/office/2006/metadata/properties" ma:root="true" ma:fieldsID="9b43da3e9f31dbf5df2e9b733907e6bc" ns1:_="" ns2:_="" ns3:_="">
    <xsd:import namespace="http://schemas.microsoft.com/sharepoint/v3"/>
    <xsd:import namespace="82251a52-8693-448d-8001-12d99300ff98"/>
    <xsd:import namespace="5dd0b85f-3f9f-4ef5-8fd4-f31adc5d1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51a52-8693-448d-8001-12d99300f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331c6f-9f67-492c-b097-0046b48c9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0b85f-3f9f-4ef5-8fd4-f31adc5d130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f50d915-bf99-4059-935b-28189a3a0388}" ma:internalName="TaxCatchAll" ma:showField="CatchAllData" ma:web="5dd0b85f-3f9f-4ef5-8fd4-f31adc5d1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54634A-DE11-4416-871E-14267BCF217F}"/>
</file>

<file path=customXml/itemProps2.xml><?xml version="1.0" encoding="utf-8"?>
<ds:datastoreItem xmlns:ds="http://schemas.openxmlformats.org/officeDocument/2006/customXml" ds:itemID="{59C5BE12-BB11-4D47-8E61-E2CAF77412C3}"/>
</file>

<file path=customXml/itemProps3.xml><?xml version="1.0" encoding="utf-8"?>
<ds:datastoreItem xmlns:ds="http://schemas.openxmlformats.org/officeDocument/2006/customXml" ds:itemID="{96C3C2DB-ECA8-488C-8027-C6E3B05EF2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Clayson, Denis</dc:creator>
  <cp:keywords/>
  <dc:description/>
  <cp:lastModifiedBy>Tayebani, Bahareh</cp:lastModifiedBy>
  <cp:revision/>
  <dcterms:created xsi:type="dcterms:W3CDTF">2025-09-03T04:58:25Z</dcterms:created>
  <dcterms:modified xsi:type="dcterms:W3CDTF">2025-11-05T14:36:44Z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0x0101002447C85A0B2EA84F91C271DF525D0016</vt:lpwstr>
  </property>
  <property fmtid="{D5CDD505-2E9C-101B-9397-08002B2CF9AE}" pid="37" name="MediaServiceImageTags">
    <vt:lpwstr/>
  </property>
</Properties>
</file>