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ah\OneDrive\Desktop\Base Isolation Project\Reports\Project Excel Sheets\Isolated Structure\"/>
    </mc:Choice>
  </mc:AlternateContent>
  <xr:revisionPtr revIDLastSave="0" documentId="13_ncr:1_{F60F116F-7E94-44A1-85BD-AEF2EF60D770}" xr6:coauthVersionLast="47" xr6:coauthVersionMax="47" xr10:uidLastSave="{00000000-0000-0000-0000-000000000000}"/>
  <bookViews>
    <workbookView xWindow="-110" yWindow="-110" windowWidth="19420" windowHeight="11020" tabRatio="844" activeTab="2" xr2:uid="{F54A5363-5DA5-491E-80CF-24985AF55B64}"/>
  </bookViews>
  <sheets>
    <sheet name="EARTHQUAKE" sheetId="1" r:id="rId1"/>
    <sheet name="Load Combinations" sheetId="3" r:id="rId2"/>
    <sheet name="LRB ISOLATORS PRE. DESIGN (DE)" sheetId="14" r:id="rId3"/>
    <sheet name="Interpolation" sheetId="12" r:id="rId4"/>
  </sheets>
  <definedNames>
    <definedName name="_xlnm.Print_Area" localSheetId="3">Interpolation!$A$1:$W$12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4" l="1"/>
  <c r="F23" i="14" s="1"/>
  <c r="G22" i="14"/>
  <c r="G23" i="14" s="1"/>
  <c r="I22" i="14" l="1"/>
  <c r="I23" i="14" s="1"/>
  <c r="J22" i="14"/>
  <c r="J23" i="14" s="1"/>
  <c r="L22" i="14"/>
  <c r="M22" i="14"/>
  <c r="M23" i="14" s="1"/>
  <c r="O22" i="14"/>
  <c r="O23" i="14" s="1"/>
  <c r="P22" i="14"/>
  <c r="P23" i="14" s="1"/>
  <c r="R22" i="14"/>
  <c r="R23" i="14" s="1"/>
  <c r="S22" i="14"/>
  <c r="S23" i="14" s="1"/>
  <c r="U22" i="14"/>
  <c r="U23" i="14" s="1"/>
  <c r="V22" i="14"/>
  <c r="V23" i="14" s="1"/>
  <c r="X22" i="14"/>
  <c r="X23" i="14" s="1"/>
  <c r="Y22" i="14"/>
  <c r="Y23" i="14" s="1"/>
  <c r="L23" i="14"/>
  <c r="H18" i="14"/>
  <c r="E18" i="14"/>
  <c r="D18" i="14"/>
  <c r="D29" i="14" s="1"/>
  <c r="D34" i="14" s="1"/>
  <c r="T18" i="14" l="1"/>
  <c r="D41" i="1" l="1"/>
  <c r="C41" i="1"/>
  <c r="B41" i="1"/>
  <c r="B44" i="1" s="1"/>
  <c r="E37" i="1"/>
  <c r="F37" i="1"/>
  <c r="G37" i="1"/>
  <c r="H37" i="1"/>
  <c r="I37" i="1"/>
  <c r="J37" i="1"/>
  <c r="Z18" i="14"/>
  <c r="Z19" i="14" s="1"/>
  <c r="Z20" i="14" s="1"/>
  <c r="W18" i="14"/>
  <c r="W19" i="14" s="1"/>
  <c r="W20" i="14" s="1"/>
  <c r="T19" i="14"/>
  <c r="T20" i="14" s="1"/>
  <c r="Q18" i="14"/>
  <c r="Q19" i="14" s="1"/>
  <c r="Q20" i="14" s="1"/>
  <c r="N18" i="14"/>
  <c r="N19" i="14" s="1"/>
  <c r="N20" i="14" s="1"/>
  <c r="T41" i="14"/>
  <c r="T42" i="14" s="1"/>
  <c r="W41" i="14"/>
  <c r="W42" i="14" s="1"/>
  <c r="Z41" i="14"/>
  <c r="Z42" i="14" s="1"/>
  <c r="E61" i="14"/>
  <c r="E62" i="14" s="1"/>
  <c r="H61" i="14"/>
  <c r="H62" i="14" s="1"/>
  <c r="K61" i="14"/>
  <c r="K62" i="14" s="1"/>
  <c r="N61" i="14"/>
  <c r="N62" i="14" s="1"/>
  <c r="Q61" i="14"/>
  <c r="Q62" i="14" s="1"/>
  <c r="T61" i="14"/>
  <c r="T62" i="14" s="1"/>
  <c r="W61" i="14"/>
  <c r="W62" i="14" s="1"/>
  <c r="Z61" i="14"/>
  <c r="Z62" i="14" s="1"/>
  <c r="K41" i="14"/>
  <c r="K42" i="14" s="1"/>
  <c r="N41" i="14"/>
  <c r="N42" i="14" s="1"/>
  <c r="Q41" i="14"/>
  <c r="Q42" i="14" s="1"/>
  <c r="K18" i="14"/>
  <c r="K19" i="14" s="1"/>
  <c r="K20" i="14" s="1"/>
  <c r="K21" i="14" s="1"/>
  <c r="K22" i="14" s="1"/>
  <c r="K23" i="14" s="1"/>
  <c r="H41" i="14"/>
  <c r="H42" i="14" s="1"/>
  <c r="H19" i="14"/>
  <c r="H20" i="14" s="1"/>
  <c r="H21" i="14" s="1"/>
  <c r="E19" i="14"/>
  <c r="E20" i="14" s="1"/>
  <c r="E46" i="14"/>
  <c r="E41" i="14"/>
  <c r="E42" i="14" s="1"/>
  <c r="D19" i="14"/>
  <c r="D20" i="14" s="1"/>
  <c r="D21" i="14" s="1"/>
  <c r="Z46" i="14"/>
  <c r="W46" i="14"/>
  <c r="T46" i="14"/>
  <c r="Q46" i="14"/>
  <c r="N46" i="14"/>
  <c r="K46" i="14"/>
  <c r="H46" i="14"/>
  <c r="D46" i="14"/>
  <c r="O7" i="12"/>
  <c r="D7" i="12"/>
  <c r="J54" i="1"/>
  <c r="I54" i="1"/>
  <c r="H54" i="1"/>
  <c r="G54" i="1"/>
  <c r="F54" i="1"/>
  <c r="E54" i="1"/>
  <c r="D54" i="1"/>
  <c r="C54" i="1"/>
  <c r="B54" i="1"/>
  <c r="D52" i="1"/>
  <c r="C52" i="1"/>
  <c r="B52" i="1"/>
  <c r="B47" i="1"/>
  <c r="D47" i="1"/>
  <c r="C47" i="1"/>
  <c r="G39" i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D37" i="1" s="1"/>
  <c r="C34" i="1"/>
  <c r="C35" i="1" s="1"/>
  <c r="C37" i="1" s="1"/>
  <c r="B34" i="1"/>
  <c r="B35" i="1" s="1"/>
  <c r="B37" i="1" s="1"/>
  <c r="E28" i="1"/>
  <c r="P12" i="3" s="1"/>
  <c r="H28" i="1"/>
  <c r="AA12" i="3" s="1"/>
  <c r="B28" i="1"/>
  <c r="E12" i="3" s="1"/>
  <c r="H10" i="1"/>
  <c r="H15" i="1" s="1"/>
  <c r="H17" i="1" s="1"/>
  <c r="E10" i="1"/>
  <c r="E15" i="1" s="1"/>
  <c r="E17" i="1" s="1"/>
  <c r="B10" i="1"/>
  <c r="B15" i="1" s="1"/>
  <c r="B17" i="1" s="1"/>
  <c r="B9" i="1"/>
  <c r="B14" i="1" s="1"/>
  <c r="B16" i="1" s="1"/>
  <c r="B29" i="1" s="1"/>
  <c r="B31" i="1" s="1"/>
  <c r="B12" i="3" s="1"/>
  <c r="E9" i="1"/>
  <c r="E14" i="1" s="1"/>
  <c r="E16" i="1" s="1"/>
  <c r="E29" i="1" s="1"/>
  <c r="E30" i="1" s="1"/>
  <c r="M11" i="3" s="1"/>
  <c r="H9" i="1"/>
  <c r="H14" i="1" s="1"/>
  <c r="H16" i="1" s="1"/>
  <c r="H29" i="1" s="1"/>
  <c r="H30" i="1" s="1"/>
  <c r="X11" i="3" s="1"/>
  <c r="E29" i="14" l="1"/>
  <c r="E34" i="14" s="1"/>
  <c r="E21" i="14"/>
  <c r="E22" i="14" s="1"/>
  <c r="E23" i="14" s="1"/>
  <c r="D22" i="14"/>
  <c r="D23" i="14" s="1"/>
  <c r="D24" i="14"/>
  <c r="D61" i="14"/>
  <c r="D62" i="14" s="1"/>
  <c r="D59" i="14"/>
  <c r="D60" i="14" s="1"/>
  <c r="K24" i="14"/>
  <c r="K54" i="14" s="1"/>
  <c r="K56" i="14" s="1"/>
  <c r="K29" i="14"/>
  <c r="K34" i="14" s="1"/>
  <c r="H22" i="14"/>
  <c r="H23" i="14" s="1"/>
  <c r="H24" i="14"/>
  <c r="H54" i="14" s="1"/>
  <c r="H56" i="14" s="1"/>
  <c r="H29" i="14"/>
  <c r="H34" i="14" s="1"/>
  <c r="Q24" i="14"/>
  <c r="Q54" i="14" s="1"/>
  <c r="Q56" i="14" s="1"/>
  <c r="Q21" i="14"/>
  <c r="Q29" i="14"/>
  <c r="Q34" i="14" s="1"/>
  <c r="T21" i="14"/>
  <c r="T29" i="14"/>
  <c r="T34" i="14" s="1"/>
  <c r="T24" i="14"/>
  <c r="Z24" i="14"/>
  <c r="Z21" i="14"/>
  <c r="Z29" i="14"/>
  <c r="Z34" i="14" s="1"/>
  <c r="N21" i="14"/>
  <c r="N22" i="14" s="1"/>
  <c r="N23" i="14" s="1"/>
  <c r="E24" i="14"/>
  <c r="E54" i="14" s="1"/>
  <c r="E56" i="14" s="1"/>
  <c r="N24" i="14"/>
  <c r="N54" i="14" s="1"/>
  <c r="N56" i="14" s="1"/>
  <c r="N29" i="14"/>
  <c r="N34" i="14" s="1"/>
  <c r="W29" i="14"/>
  <c r="W34" i="14" s="1"/>
  <c r="W24" i="14"/>
  <c r="W54" i="14" s="1"/>
  <c r="W56" i="14" s="1"/>
  <c r="W21" i="14"/>
  <c r="W22" i="14" s="1"/>
  <c r="W23" i="14" s="1"/>
  <c r="E40" i="1"/>
  <c r="H40" i="1"/>
  <c r="B40" i="1"/>
  <c r="B42" i="1"/>
  <c r="E42" i="1"/>
  <c r="H42" i="1"/>
  <c r="D38" i="1"/>
  <c r="D39" i="1" s="1"/>
  <c r="J38" i="1"/>
  <c r="J39" i="1" s="1"/>
  <c r="P11" i="3"/>
  <c r="E11" i="3"/>
  <c r="H31" i="1"/>
  <c r="X12" i="3" s="1"/>
  <c r="E31" i="1"/>
  <c r="M12" i="3" s="1"/>
  <c r="AA11" i="3"/>
  <c r="B30" i="1"/>
  <c r="B11" i="3" s="1"/>
  <c r="E59" i="14" l="1"/>
  <c r="E60" i="14" s="1"/>
  <c r="N28" i="14"/>
  <c r="W28" i="14"/>
  <c r="W86" i="14" s="1"/>
  <c r="E28" i="14"/>
  <c r="Q52" i="14"/>
  <c r="Q22" i="14"/>
  <c r="Q23" i="14" s="1"/>
  <c r="Q28" i="14" s="1"/>
  <c r="Z22" i="14"/>
  <c r="Z23" i="14" s="1"/>
  <c r="Z28" i="14" s="1"/>
  <c r="T22" i="14"/>
  <c r="T23" i="14" s="1"/>
  <c r="T28" i="14" s="1"/>
  <c r="K28" i="14"/>
  <c r="H28" i="14"/>
  <c r="D28" i="14"/>
  <c r="B81" i="14"/>
  <c r="D54" i="14"/>
  <c r="D56" i="14" s="1"/>
  <c r="D49" i="14"/>
  <c r="D48" i="14"/>
  <c r="D51" i="14" s="1"/>
  <c r="W81" i="14"/>
  <c r="W77" i="14"/>
  <c r="N77" i="14"/>
  <c r="N81" i="14"/>
  <c r="N73" i="14"/>
  <c r="N74" i="14" s="1"/>
  <c r="N76" i="14" s="1"/>
  <c r="Z52" i="14"/>
  <c r="Z77" i="14"/>
  <c r="Z81" i="14"/>
  <c r="Z54" i="14"/>
  <c r="Z56" i="14" s="1"/>
  <c r="T52" i="14"/>
  <c r="T81" i="14"/>
  <c r="T77" i="14"/>
  <c r="T54" i="14"/>
  <c r="T56" i="14" s="1"/>
  <c r="Q73" i="14"/>
  <c r="Q74" i="14" s="1"/>
  <c r="Q76" i="14" s="1"/>
  <c r="Q77" i="14"/>
  <c r="Q81" i="14"/>
  <c r="K77" i="14"/>
  <c r="K73" i="14"/>
  <c r="K74" i="14" s="1"/>
  <c r="K76" i="14" s="1"/>
  <c r="K81" i="14"/>
  <c r="N52" i="14"/>
  <c r="K49" i="14"/>
  <c r="K83" i="14"/>
  <c r="Q50" i="14"/>
  <c r="K50" i="14"/>
  <c r="T50" i="14"/>
  <c r="K48" i="14"/>
  <c r="K51" i="14" s="1"/>
  <c r="K52" i="14"/>
  <c r="Z49" i="14"/>
  <c r="Q49" i="14"/>
  <c r="N50" i="14"/>
  <c r="H50" i="14"/>
  <c r="H77" i="14"/>
  <c r="H65" i="14"/>
  <c r="H81" i="14"/>
  <c r="H73" i="14"/>
  <c r="H74" i="14" s="1"/>
  <c r="E81" i="14"/>
  <c r="E73" i="14"/>
  <c r="E74" i="14" s="1"/>
  <c r="E76" i="14" s="1"/>
  <c r="E77" i="14"/>
  <c r="T49" i="14"/>
  <c r="Z50" i="14"/>
  <c r="H49" i="14"/>
  <c r="D41" i="14"/>
  <c r="D42" i="14" s="1"/>
  <c r="N48" i="14"/>
  <c r="N51" i="14" s="1"/>
  <c r="E52" i="14"/>
  <c r="E49" i="14"/>
  <c r="E50" i="14"/>
  <c r="H48" i="14"/>
  <c r="H51" i="14" s="1"/>
  <c r="W48" i="14"/>
  <c r="W51" i="14" s="1"/>
  <c r="D77" i="14"/>
  <c r="D73" i="14"/>
  <c r="D74" i="14" s="1"/>
  <c r="D76" i="14" s="1"/>
  <c r="D65" i="14"/>
  <c r="N59" i="14"/>
  <c r="N60" i="14" s="1"/>
  <c r="E48" i="14"/>
  <c r="E51" i="14" s="1"/>
  <c r="Z59" i="14"/>
  <c r="Z60" i="14" s="1"/>
  <c r="Q59" i="14"/>
  <c r="Q60" i="14" s="1"/>
  <c r="D52" i="14"/>
  <c r="N83" i="14"/>
  <c r="N49" i="14"/>
  <c r="W49" i="14"/>
  <c r="T59" i="14"/>
  <c r="T60" i="14" s="1"/>
  <c r="Z48" i="14"/>
  <c r="Z51" i="14" s="1"/>
  <c r="T48" i="14"/>
  <c r="T51" i="14" s="1"/>
  <c r="Q48" i="14"/>
  <c r="Q51" i="14" s="1"/>
  <c r="H59" i="14"/>
  <c r="H60" i="14" s="1"/>
  <c r="K59" i="14"/>
  <c r="K60" i="14" s="1"/>
  <c r="D50" i="14"/>
  <c r="W59" i="14"/>
  <c r="W60" i="14" s="1"/>
  <c r="W52" i="14"/>
  <c r="W50" i="14"/>
  <c r="H52" i="14"/>
  <c r="J44" i="1"/>
  <c r="I44" i="1"/>
  <c r="H44" i="1"/>
  <c r="E44" i="1"/>
  <c r="F44" i="1"/>
  <c r="G44" i="1"/>
  <c r="D44" i="1"/>
  <c r="C44" i="1"/>
  <c r="Z65" i="14" l="1"/>
  <c r="T65" i="14"/>
  <c r="D57" i="14"/>
  <c r="H83" i="14"/>
  <c r="N78" i="14"/>
  <c r="N88" i="14" s="1"/>
  <c r="K78" i="14"/>
  <c r="K88" i="14" s="1"/>
  <c r="B85" i="14"/>
  <c r="D32" i="14"/>
  <c r="D35" i="14" s="1"/>
  <c r="W83" i="14"/>
  <c r="Q78" i="14"/>
  <c r="Q88" i="14" s="1"/>
  <c r="N86" i="14"/>
  <c r="B86" i="14"/>
  <c r="W32" i="14"/>
  <c r="W35" i="14" s="1"/>
  <c r="W85" i="14"/>
  <c r="W65" i="14"/>
  <c r="N65" i="14"/>
  <c r="N75" i="14"/>
  <c r="N82" i="14" s="1"/>
  <c r="N32" i="14"/>
  <c r="N35" i="14" s="1"/>
  <c r="N85" i="14"/>
  <c r="Z32" i="14"/>
  <c r="Z35" i="14" s="1"/>
  <c r="Z85" i="14"/>
  <c r="Z86" i="14"/>
  <c r="Z83" i="14"/>
  <c r="T32" i="14"/>
  <c r="T35" i="14" s="1"/>
  <c r="T85" i="14"/>
  <c r="T83" i="14"/>
  <c r="T86" i="14"/>
  <c r="Q65" i="14"/>
  <c r="Q75" i="14"/>
  <c r="Q82" i="14" s="1"/>
  <c r="Q32" i="14"/>
  <c r="Q35" i="14" s="1"/>
  <c r="Q85" i="14"/>
  <c r="Q86" i="14"/>
  <c r="Q83" i="14"/>
  <c r="K65" i="14"/>
  <c r="K75" i="14"/>
  <c r="K82" i="14" s="1"/>
  <c r="K32" i="14"/>
  <c r="K35" i="14" s="1"/>
  <c r="K85" i="14"/>
  <c r="K87" i="14" s="1"/>
  <c r="K86" i="14"/>
  <c r="B83" i="14"/>
  <c r="T73" i="14"/>
  <c r="T74" i="14" s="1"/>
  <c r="H32" i="14"/>
  <c r="H35" i="14" s="1"/>
  <c r="H85" i="14"/>
  <c r="H86" i="14"/>
  <c r="E65" i="14"/>
  <c r="E75" i="14"/>
  <c r="E82" i="14" s="1"/>
  <c r="E78" i="14"/>
  <c r="E88" i="14" s="1"/>
  <c r="E32" i="14"/>
  <c r="E35" i="14" s="1"/>
  <c r="E85" i="14"/>
  <c r="E86" i="14"/>
  <c r="E83" i="14"/>
  <c r="H75" i="14"/>
  <c r="H82" i="14" s="1"/>
  <c r="H76" i="14"/>
  <c r="H78" i="14" s="1"/>
  <c r="H88" i="14" s="1"/>
  <c r="D75" i="14"/>
  <c r="B82" i="14" s="1"/>
  <c r="W73" i="14"/>
  <c r="W74" i="14" s="1"/>
  <c r="W76" i="14" s="1"/>
  <c r="W78" i="14" s="1"/>
  <c r="W88" i="14" s="1"/>
  <c r="D78" i="14"/>
  <c r="B88" i="14" s="1"/>
  <c r="Q37" i="14" l="1"/>
  <c r="Q38" i="14" s="1"/>
  <c r="Q44" i="14" s="1"/>
  <c r="Q45" i="14" s="1"/>
  <c r="N33" i="14"/>
  <c r="E37" i="14"/>
  <c r="E38" i="14" s="1"/>
  <c r="E44" i="14" s="1"/>
  <c r="E45" i="14" s="1"/>
  <c r="D33" i="14"/>
  <c r="H33" i="14"/>
  <c r="H69" i="14" s="1"/>
  <c r="H87" i="14"/>
  <c r="N87" i="14"/>
  <c r="Q33" i="14"/>
  <c r="Q69" i="14" s="1"/>
  <c r="Q70" i="14" s="1"/>
  <c r="B87" i="14"/>
  <c r="W87" i="14"/>
  <c r="W75" i="14"/>
  <c r="W82" i="14" s="1"/>
  <c r="N37" i="14"/>
  <c r="N38" i="14" s="1"/>
  <c r="N44" i="14" s="1"/>
  <c r="N45" i="14" s="1"/>
  <c r="Z33" i="14"/>
  <c r="Z37" i="14"/>
  <c r="Z38" i="14" s="1"/>
  <c r="Z64" i="14" s="1"/>
  <c r="Z66" i="14" s="1"/>
  <c r="W33" i="14"/>
  <c r="W37" i="14"/>
  <c r="W38" i="14" s="1"/>
  <c r="W64" i="14" s="1"/>
  <c r="W66" i="14" s="1"/>
  <c r="T33" i="14"/>
  <c r="T37" i="14"/>
  <c r="T38" i="14" s="1"/>
  <c r="T64" i="14" s="1"/>
  <c r="T66" i="14" s="1"/>
  <c r="Z87" i="14"/>
  <c r="Z57" i="14"/>
  <c r="Z58" i="14" s="1"/>
  <c r="Z73" i="14"/>
  <c r="Z74" i="14" s="1"/>
  <c r="T76" i="14"/>
  <c r="T78" i="14" s="1"/>
  <c r="T88" i="14" s="1"/>
  <c r="T75" i="14"/>
  <c r="T82" i="14" s="1"/>
  <c r="T87" i="14"/>
  <c r="Q87" i="14"/>
  <c r="K37" i="14"/>
  <c r="K38" i="14" s="1"/>
  <c r="K33" i="14"/>
  <c r="Q64" i="14"/>
  <c r="Q66" i="14" s="1"/>
  <c r="K57" i="14"/>
  <c r="N57" i="14"/>
  <c r="T57" i="14"/>
  <c r="T58" i="14" s="1"/>
  <c r="H37" i="14"/>
  <c r="H38" i="14" s="1"/>
  <c r="H44" i="14" s="1"/>
  <c r="H45" i="14" s="1"/>
  <c r="E87" i="14"/>
  <c r="E33" i="14"/>
  <c r="H57" i="14"/>
  <c r="E57" i="14"/>
  <c r="Q57" i="14"/>
  <c r="D37" i="14"/>
  <c r="D38" i="14" s="1"/>
  <c r="W57" i="14"/>
  <c r="W58" i="14" s="1"/>
  <c r="H70" i="14" l="1"/>
  <c r="E64" i="14"/>
  <c r="E66" i="14" s="1"/>
  <c r="E58" i="14"/>
  <c r="N69" i="14"/>
  <c r="N70" i="14" s="1"/>
  <c r="N64" i="14"/>
  <c r="N66" i="14" s="1"/>
  <c r="E69" i="14"/>
  <c r="E70" i="14" s="1"/>
  <c r="K69" i="14"/>
  <c r="K70" i="14" s="1"/>
  <c r="Z69" i="14"/>
  <c r="Z70" i="14" s="1"/>
  <c r="W69" i="14"/>
  <c r="W70" i="14" s="1"/>
  <c r="T69" i="14"/>
  <c r="T70" i="14" s="1"/>
  <c r="Z76" i="14"/>
  <c r="Z78" i="14" s="1"/>
  <c r="Z88" i="14" s="1"/>
  <c r="Z75" i="14"/>
  <c r="Z82" i="14" s="1"/>
  <c r="Q58" i="14"/>
  <c r="K64" i="14"/>
  <c r="K66" i="14" s="1"/>
  <c r="K44" i="14"/>
  <c r="K45" i="14" s="1"/>
  <c r="K58" i="14" s="1"/>
  <c r="N58" i="14"/>
  <c r="H58" i="14"/>
  <c r="H64" i="14"/>
  <c r="H66" i="14" s="1"/>
  <c r="D69" i="14"/>
  <c r="D70" i="14" s="1"/>
  <c r="D64" i="14"/>
  <c r="D66" i="14" s="1"/>
  <c r="D44" i="14"/>
  <c r="D45" i="14" s="1"/>
  <c r="D58" i="14" s="1"/>
</calcChain>
</file>

<file path=xl/sharedStrings.xml><?xml version="1.0" encoding="utf-8"?>
<sst xmlns="http://schemas.openxmlformats.org/spreadsheetml/2006/main" count="448" uniqueCount="257">
  <si>
    <t>Zone</t>
  </si>
  <si>
    <t>Site Class</t>
  </si>
  <si>
    <t>IV</t>
  </si>
  <si>
    <t>Jeddah</t>
  </si>
  <si>
    <t>Buildings and other structures designated as essential facilities</t>
  </si>
  <si>
    <t>B</t>
  </si>
  <si>
    <t xml:space="preserve">Rock </t>
  </si>
  <si>
    <r>
      <t>Mapped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at 1-second (S</t>
    </r>
    <r>
      <rPr>
        <vertAlign val="subscript"/>
        <sz val="14"/>
        <color theme="1"/>
        <rFont val="Sakkal Majalla"/>
      </rPr>
      <t>1</t>
    </r>
    <r>
      <rPr>
        <sz val="14"/>
        <color theme="1"/>
        <rFont val="Sakkal Majalla"/>
      </rPr>
      <t>)</t>
    </r>
  </si>
  <si>
    <t>Short-Period Site Coefficient (Fa)</t>
  </si>
  <si>
    <t>Item</t>
  </si>
  <si>
    <t>SBC 301 - Table 1-2</t>
  </si>
  <si>
    <t>SBC 301 - Table 1-3</t>
  </si>
  <si>
    <t>SBC 301 - Table 22-3</t>
  </si>
  <si>
    <r>
      <t>The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at 1-second (S</t>
    </r>
    <r>
      <rPr>
        <vertAlign val="subscript"/>
        <sz val="14"/>
        <color theme="1"/>
        <rFont val="Sakkal Majalla"/>
      </rPr>
      <t>M1</t>
    </r>
    <r>
      <rPr>
        <sz val="14"/>
        <color theme="1"/>
        <rFont val="Sakkal Majalla"/>
      </rPr>
      <t>)</t>
    </r>
  </si>
  <si>
    <r>
      <t>The Design Spectral Response at 1-second (S</t>
    </r>
    <r>
      <rPr>
        <vertAlign val="subscript"/>
        <sz val="14"/>
        <color theme="1"/>
        <rFont val="Sakkal Majalla"/>
      </rPr>
      <t>D1</t>
    </r>
    <r>
      <rPr>
        <sz val="14"/>
        <color theme="1"/>
        <rFont val="Sakkal Majalla"/>
      </rPr>
      <t>)</t>
    </r>
  </si>
  <si>
    <t>SBC 301 - Table 11-2</t>
  </si>
  <si>
    <t>SBC 301 - Table 11-3</t>
  </si>
  <si>
    <t>1-Second Period Site Coefficient (Fv)</t>
  </si>
  <si>
    <t>SBC 301 - Table 11-4</t>
  </si>
  <si>
    <t>Structural System</t>
  </si>
  <si>
    <t>SBC 301 - Table 12-7</t>
  </si>
  <si>
    <t>Response Modification ( R )</t>
  </si>
  <si>
    <t>System Overstrength (Ω)</t>
  </si>
  <si>
    <t>Structural System Limitation</t>
  </si>
  <si>
    <t>SBC 301 - Table 12-1</t>
  </si>
  <si>
    <t>SBC 301 - Table 12-5</t>
  </si>
  <si>
    <t>SBC 301 - Section 11.4.2</t>
  </si>
  <si>
    <t>SBC 301 - Figure 22-4</t>
  </si>
  <si>
    <t>SBC 301 - Table 11-1</t>
  </si>
  <si>
    <t>SBC 301 - EQ. 11-1</t>
  </si>
  <si>
    <t>SBC 301 - EQ. 11-2</t>
  </si>
  <si>
    <t>SBC 301 - EQ. 11-3</t>
  </si>
  <si>
    <t>SBC 301 - EQ. 11-4</t>
  </si>
  <si>
    <r>
      <t>The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for Short Period (S</t>
    </r>
    <r>
      <rPr>
        <vertAlign val="subscript"/>
        <sz val="14"/>
        <color theme="1"/>
        <rFont val="Sakkal Majalla"/>
      </rPr>
      <t>MS</t>
    </r>
    <r>
      <rPr>
        <sz val="14"/>
        <color theme="1"/>
        <rFont val="Sakkal Majalla"/>
      </rPr>
      <t>)</t>
    </r>
  </si>
  <si>
    <t>D</t>
  </si>
  <si>
    <t>C</t>
  </si>
  <si>
    <t>A</t>
  </si>
  <si>
    <t>SRCMF</t>
  </si>
  <si>
    <t>NL</t>
  </si>
  <si>
    <t>ELF - RSA - RHA</t>
  </si>
  <si>
    <t>(Feet equivalents are shown in parentheses)</t>
  </si>
  <si>
    <t>Permitted Analytical Procedures</t>
  </si>
  <si>
    <t>Reference</t>
  </si>
  <si>
    <t>Risk Category</t>
  </si>
  <si>
    <r>
      <t>Mapped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for Short Period (S</t>
    </r>
    <r>
      <rPr>
        <vertAlign val="subscript"/>
        <sz val="14"/>
        <color theme="1"/>
        <rFont val="Sakkal Majalla"/>
      </rPr>
      <t>s</t>
    </r>
    <r>
      <rPr>
        <sz val="14"/>
        <color theme="1"/>
        <rFont val="Sakkal Majalla"/>
      </rPr>
      <t>)</t>
    </r>
  </si>
  <si>
    <r>
      <t>Long - Period Transition Period (T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>)</t>
    </r>
  </si>
  <si>
    <r>
      <t>The Design Spectral Response for Short Period (S</t>
    </r>
    <r>
      <rPr>
        <vertAlign val="subscript"/>
        <sz val="14"/>
        <color theme="1"/>
        <rFont val="Sakkal Majalla"/>
      </rPr>
      <t>DS</t>
    </r>
    <r>
      <rPr>
        <sz val="14"/>
        <color theme="1"/>
        <rFont val="Sakkal Majalla"/>
      </rPr>
      <t>)</t>
    </r>
  </si>
  <si>
    <t>Seismic Design Category Based on Short Period</t>
  </si>
  <si>
    <t>Seismic Design Category Based on 1-s Period</t>
  </si>
  <si>
    <t>Selected Seismic Design Category</t>
  </si>
  <si>
    <r>
      <t>Building Approximate Period Parameter (C</t>
    </r>
    <r>
      <rPr>
        <vertAlign val="subscript"/>
        <sz val="14"/>
        <color theme="1"/>
        <rFont val="Sakkal Majalla"/>
      </rPr>
      <t>T</t>
    </r>
    <r>
      <rPr>
        <sz val="14"/>
        <color theme="1"/>
        <rFont val="Sakkal Majalla"/>
      </rPr>
      <t>)</t>
    </r>
  </si>
  <si>
    <t>Building Approximate Period Parameter (x)</t>
  </si>
  <si>
    <t>Haqal</t>
  </si>
  <si>
    <t>Jazan</t>
  </si>
  <si>
    <r>
      <t>Deflection Amplification (C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>)</t>
    </r>
  </si>
  <si>
    <t>Assumptions / (Notes)</t>
  </si>
  <si>
    <t>SBC 301 - Sec. 12.3.4</t>
  </si>
  <si>
    <r>
      <t>Vertical Seismic Load Multiplier (0.25 S</t>
    </r>
    <r>
      <rPr>
        <vertAlign val="subscript"/>
        <sz val="14"/>
        <color theme="1"/>
        <rFont val="Sakkal Majalla"/>
      </rPr>
      <t>DS</t>
    </r>
    <r>
      <rPr>
        <sz val="14"/>
        <color theme="1"/>
        <rFont val="Sakkal Majalla"/>
      </rPr>
      <t>)</t>
    </r>
  </si>
  <si>
    <t>SBC 301 - EQ. 12-4</t>
  </si>
  <si>
    <t>+</t>
  </si>
  <si>
    <t>SBC 301 - Sec. 12.4.2.3</t>
  </si>
  <si>
    <t>(Compression Controlled Combination)</t>
  </si>
  <si>
    <t>Seismic Load Combination, Dead Load Muiltiplier (E1)</t>
  </si>
  <si>
    <t>Seismic Load Combination, Dead Load Muiltiplier (E2)</t>
  </si>
  <si>
    <t>(Tension Controlled Combination)</t>
  </si>
  <si>
    <t>Combo. (1): UD</t>
  </si>
  <si>
    <t>Combo. (8): E2</t>
  </si>
  <si>
    <t>Combo. (2): UDL1</t>
  </si>
  <si>
    <t>Combo. (3): UDL2</t>
  </si>
  <si>
    <t>Combo. (4): W1</t>
  </si>
  <si>
    <t>Combo. (5): W2</t>
  </si>
  <si>
    <t>Combo. (6): W3</t>
  </si>
  <si>
    <t>Combo. (7): E1</t>
  </si>
  <si>
    <t>Lr</t>
  </si>
  <si>
    <t>W</t>
  </si>
  <si>
    <t>L</t>
  </si>
  <si>
    <r>
      <t>Q</t>
    </r>
    <r>
      <rPr>
        <b/>
        <vertAlign val="subscript"/>
        <sz val="14"/>
        <color theme="1"/>
        <rFont val="Sakkal Majalla"/>
      </rPr>
      <t>E</t>
    </r>
  </si>
  <si>
    <t>SBC 301 - Eq. 2-1 (1)</t>
  </si>
  <si>
    <t>SBC 301 - Eq. 2-1 (2)</t>
  </si>
  <si>
    <t>SBC 301 - Eq. 2-1 (3)</t>
  </si>
  <si>
    <t>SBC 301 - Eq. 2-1 (4)</t>
  </si>
  <si>
    <t>SBC 301 - Eq. 2-1 (5)</t>
  </si>
  <si>
    <t>SBC 301 - Eq. 2-1 (6)</t>
  </si>
  <si>
    <t>SBC 301 - Eq. 2-1 (7)</t>
  </si>
  <si>
    <r>
      <t xml:space="preserve">(cells shown in </t>
    </r>
    <r>
      <rPr>
        <b/>
        <sz val="14"/>
        <color rgb="FF0070C0"/>
        <rFont val="Sakkal Majalla"/>
      </rPr>
      <t>Blue and Bold</t>
    </r>
    <r>
      <rPr>
        <sz val="14"/>
        <color theme="1"/>
        <rFont val="Sakkal Majalla"/>
      </rPr>
      <t xml:space="preserve"> are computed)</t>
    </r>
  </si>
  <si>
    <t>Ultimate Load Combinations</t>
  </si>
  <si>
    <r>
      <t>Structural Height (h</t>
    </r>
    <r>
      <rPr>
        <vertAlign val="subscript"/>
        <sz val="14"/>
        <color theme="1"/>
        <rFont val="Sakkal Majalla"/>
      </rPr>
      <t>n</t>
    </r>
    <r>
      <rPr>
        <sz val="14"/>
        <color theme="1"/>
        <rFont val="Sakkal Majalla"/>
      </rPr>
      <t>)</t>
    </r>
  </si>
  <si>
    <r>
      <t>Coefficient for upper limit on calculated period (C</t>
    </r>
    <r>
      <rPr>
        <vertAlign val="subscript"/>
        <sz val="14"/>
        <color theme="1"/>
        <rFont val="Sakkal Majalla"/>
      </rPr>
      <t>u</t>
    </r>
    <r>
      <rPr>
        <sz val="14"/>
        <color theme="1"/>
        <rFont val="Sakkal Majalla"/>
      </rPr>
      <t>)</t>
    </r>
  </si>
  <si>
    <t>SBC 301 - Table 12-6</t>
  </si>
  <si>
    <t>[0.016]</t>
  </si>
  <si>
    <r>
      <t>Approximate Fundamental Period (T</t>
    </r>
    <r>
      <rPr>
        <vertAlign val="subscript"/>
        <sz val="14"/>
        <color theme="1"/>
        <rFont val="Sakkal Majalla"/>
      </rPr>
      <t>a</t>
    </r>
    <r>
      <rPr>
        <sz val="14"/>
        <color theme="1"/>
        <rFont val="Sakkal Majalla"/>
      </rPr>
      <t>)</t>
    </r>
  </si>
  <si>
    <t>Upper Limit of the Fundamental Period</t>
  </si>
  <si>
    <t>SBC 301 - EQ. 12-18</t>
  </si>
  <si>
    <t>SBC 301 - Sec. 12.8.2.2</t>
  </si>
  <si>
    <r>
      <t>Dyanmic Fundamental Period (T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>)</t>
    </r>
  </si>
  <si>
    <t>( the structural is symmtric, then the period is same for both direction)</t>
  </si>
  <si>
    <t>Haql</t>
  </si>
  <si>
    <t>Stability Cooefficient (Ѳ)</t>
  </si>
  <si>
    <t>Redundancy Factor (Ꝭ)</t>
  </si>
  <si>
    <t>SBC 301 - EQ. 12-27</t>
  </si>
  <si>
    <t xml:space="preserve">(max. effect "15 stories" is computed … for linear analysis, it is equaled values for the defferent zones) </t>
  </si>
  <si>
    <t>Consideration of P-Delta Effect Requirment</t>
  </si>
  <si>
    <t>SBC 301 - Sec. 12.8.7.1</t>
  </si>
  <si>
    <t>SBC 301 - Table 12-8</t>
  </si>
  <si>
    <t xml:space="preserve"> Story Drift  Limit (Δ)</t>
  </si>
  <si>
    <r>
      <t>Allowable Drift Ratio (DR</t>
    </r>
    <r>
      <rPr>
        <vertAlign val="subscript"/>
        <sz val="14"/>
        <color theme="1"/>
        <rFont val="Sakkal Majalla"/>
      </rPr>
      <t>a</t>
    </r>
    <r>
      <rPr>
        <sz val="14"/>
        <color theme="1"/>
        <rFont val="Sakkal Majalla"/>
      </rPr>
      <t>)</t>
    </r>
  </si>
  <si>
    <r>
      <t>Max. Story Drift Ratio (DR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>)</t>
    </r>
  </si>
  <si>
    <t>Story Drift Check</t>
  </si>
  <si>
    <r>
      <t>[DR</t>
    </r>
    <r>
      <rPr>
        <vertAlign val="subscript"/>
        <sz val="14"/>
        <color theme="1"/>
        <rFont val="Sakkal Majalla"/>
      </rPr>
      <t>a</t>
    </r>
    <r>
      <rPr>
        <sz val="14"/>
        <color theme="1"/>
        <rFont val="Sakkal Majalla"/>
      </rPr>
      <t xml:space="preserve"> = (0.01 x I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>) / (C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x Ꝭ)]</t>
    </r>
  </si>
  <si>
    <r>
      <t>Importance Factor (I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>)</t>
    </r>
  </si>
  <si>
    <t>(Values are in "mm")</t>
  </si>
  <si>
    <t>Max. Story Drift (for Torsional Irregularity Check)</t>
  </si>
  <si>
    <t>Avg. Story Drift (for Torsional Irregularity Check)</t>
  </si>
  <si>
    <t>Torisional Irregularity Type (1a.) Check</t>
  </si>
  <si>
    <t>Stiffness Irregularity Check</t>
  </si>
  <si>
    <t>OK</t>
  </si>
  <si>
    <t>SBC 301 - Table 12-3</t>
  </si>
  <si>
    <t>SBC 301 - Table 12-2</t>
  </si>
  <si>
    <t>(Building geometry is same for all of the zones)</t>
  </si>
  <si>
    <t>N. OK</t>
  </si>
  <si>
    <t>Mass Irregularity Check</t>
  </si>
  <si>
    <t xml:space="preserve"> RSA - RHA</t>
  </si>
  <si>
    <t>Max. Story Drift (for Torsional Irregularity Check) - RSA</t>
  </si>
  <si>
    <t>Avg. Story Drift (for Torsional Irregularity Check) - RSA</t>
  </si>
  <si>
    <t>Torisional Irregularity Type (1a.) Check - RSA</t>
  </si>
  <si>
    <t>Horizontal Irreguarity Check</t>
  </si>
  <si>
    <t>SBC 301 - Sec. 12.5.3.2</t>
  </si>
  <si>
    <t>Orthogonal Combination Procedure Required?</t>
  </si>
  <si>
    <t>15 Stories</t>
  </si>
  <si>
    <t>10 Stories</t>
  </si>
  <si>
    <t>5 Stories</t>
  </si>
  <si>
    <t>3rd iter.</t>
  </si>
  <si>
    <t>1st iter.</t>
  </si>
  <si>
    <t>2nd iter.</t>
  </si>
  <si>
    <r>
      <t>Effective Yield Stress of Lead, ϭ</t>
    </r>
    <r>
      <rPr>
        <vertAlign val="subscript"/>
        <sz val="14"/>
        <color theme="1"/>
        <rFont val="Sakkal Majalla"/>
      </rPr>
      <t>YL</t>
    </r>
    <r>
      <rPr>
        <sz val="14"/>
        <color theme="1"/>
        <rFont val="Sakkal Majalla"/>
      </rPr>
      <t xml:space="preserve"> (MPa)</t>
    </r>
  </si>
  <si>
    <t>Shear Modulus, G (MPa)</t>
  </si>
  <si>
    <r>
      <t>Laed Core Diameter, D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 xml:space="preserve"> (mm)</t>
    </r>
  </si>
  <si>
    <t>Yeild Desplacement, Y (mm)</t>
  </si>
  <si>
    <r>
      <t>System Post-elastic Stiffness, K</t>
    </r>
    <r>
      <rPr>
        <vertAlign val="subscript"/>
        <sz val="14"/>
        <color theme="1"/>
        <rFont val="Sakkal Majalla"/>
      </rPr>
      <t>d,total</t>
    </r>
    <r>
      <rPr>
        <sz val="14"/>
        <color theme="1"/>
        <rFont val="Sakkal Majalla"/>
      </rPr>
      <t xml:space="preserve"> (KN/m)</t>
    </r>
  </si>
  <si>
    <r>
      <t>System Characteristic Strength, Q</t>
    </r>
    <r>
      <rPr>
        <vertAlign val="subscript"/>
        <sz val="14"/>
        <color theme="1"/>
        <rFont val="Sakkal Majalla"/>
      </rPr>
      <t>d, total</t>
    </r>
    <r>
      <rPr>
        <sz val="14"/>
        <color theme="1"/>
        <rFont val="Sakkal Majalla"/>
      </rPr>
      <t xml:space="preserve"> (KN)</t>
    </r>
  </si>
  <si>
    <r>
      <t>Bonded Ruber Diamtere, D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 xml:space="preserve"> (mm)</t>
    </r>
  </si>
  <si>
    <r>
      <t>Max. Vertical Load, P</t>
    </r>
    <r>
      <rPr>
        <vertAlign val="subscript"/>
        <sz val="14"/>
        <color theme="1"/>
        <rFont val="Sakkal Majalla"/>
      </rPr>
      <t>u</t>
    </r>
    <r>
      <rPr>
        <sz val="14"/>
        <color theme="1"/>
        <rFont val="Sakkal Majalla"/>
      </rPr>
      <t xml:space="preserve"> (KN)</t>
    </r>
  </si>
  <si>
    <t>Safety Factor, Φ</t>
  </si>
  <si>
    <t>Factor, δ</t>
  </si>
  <si>
    <t>Rubber Thickness for Stability, t (mm)</t>
  </si>
  <si>
    <t>Rubber Shear Strain (%)</t>
  </si>
  <si>
    <t>Decision for Shear Strain?</t>
  </si>
  <si>
    <t>Effective Seismic Weight, W (KN)</t>
  </si>
  <si>
    <r>
      <t xml:space="preserve">Parameter, </t>
    </r>
    <r>
      <rPr>
        <i/>
        <sz val="14"/>
        <color theme="1"/>
        <rFont val="Sakkal Majalla"/>
      </rPr>
      <t>f</t>
    </r>
    <r>
      <rPr>
        <vertAlign val="subscript"/>
        <sz val="14"/>
        <color theme="1"/>
        <rFont val="Sakkal Majalla"/>
      </rPr>
      <t>L</t>
    </r>
  </si>
  <si>
    <t>Parameter, (δ - sin(δ))</t>
  </si>
  <si>
    <r>
      <t>Parameter, (1 - D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>/D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>)</t>
    </r>
  </si>
  <si>
    <r>
      <t>Parameter, (1 - D</t>
    </r>
    <r>
      <rPr>
        <vertAlign val="superscript"/>
        <sz val="14"/>
        <color theme="1"/>
        <rFont val="Sakkal Majalla"/>
      </rPr>
      <t>2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>/D</t>
    </r>
    <r>
      <rPr>
        <vertAlign val="superscript"/>
        <sz val="14"/>
        <color theme="1"/>
        <rFont val="Sakkal Majalla"/>
      </rPr>
      <t>2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>)</t>
    </r>
  </si>
  <si>
    <t>No. of Isolators Units</t>
  </si>
  <si>
    <r>
      <t>Area of Lead Core for Single Isolator, A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 xml:space="preserve"> (mm</t>
    </r>
    <r>
      <rPr>
        <vertAlign val="superscript"/>
        <sz val="14"/>
        <color theme="1"/>
        <rFont val="Sakkal Majalla"/>
      </rPr>
      <t>2</t>
    </r>
    <r>
      <rPr>
        <sz val="14"/>
        <color theme="1"/>
        <rFont val="Sakkal Majalla"/>
      </rPr>
      <t>)</t>
    </r>
  </si>
  <si>
    <r>
      <t>Total Area of Lead Core, A</t>
    </r>
    <r>
      <rPr>
        <vertAlign val="subscript"/>
        <sz val="14"/>
        <color theme="1"/>
        <rFont val="Sakkal Majalla"/>
      </rPr>
      <t>L,total</t>
    </r>
    <r>
      <rPr>
        <sz val="14"/>
        <color theme="1"/>
        <rFont val="Sakkal Majalla"/>
      </rPr>
      <t xml:space="preserve"> (mm</t>
    </r>
    <r>
      <rPr>
        <vertAlign val="superscript"/>
        <sz val="14"/>
        <color theme="1"/>
        <rFont val="Sakkal Majalla"/>
      </rPr>
      <t>2</t>
    </r>
    <r>
      <rPr>
        <sz val="14"/>
        <color theme="1"/>
        <rFont val="Sakkal Majalla"/>
      </rPr>
      <t>)</t>
    </r>
  </si>
  <si>
    <t>Constantinou et al. (2011) and FEMA 1051</t>
  </si>
  <si>
    <r>
      <t>Average value of the shear modulus in the three cycles of motion, G</t>
    </r>
    <r>
      <rPr>
        <vertAlign val="subscript"/>
        <sz val="14"/>
        <color theme="1"/>
        <rFont val="Sakkal Majalla"/>
      </rPr>
      <t>3c</t>
    </r>
    <r>
      <rPr>
        <sz val="14"/>
        <color theme="1"/>
        <rFont val="Sakkal Majalla"/>
      </rPr>
      <t>.</t>
    </r>
  </si>
  <si>
    <r>
      <t>Average chracteristics strength in the first three cycles motion, б</t>
    </r>
    <r>
      <rPr>
        <vertAlign val="subscript"/>
        <sz val="14"/>
        <color theme="1"/>
        <rFont val="Sakkal Majalla"/>
      </rPr>
      <t>L3</t>
    </r>
    <r>
      <rPr>
        <sz val="14"/>
        <color theme="1"/>
        <rFont val="Sakkal Majalla"/>
      </rPr>
      <t>.</t>
    </r>
  </si>
  <si>
    <t>Shape Factor for Single Layer of Rubber, S</t>
  </si>
  <si>
    <t>Bulk Modulus, K (MPa)</t>
  </si>
  <si>
    <r>
      <t>Parameter, (1 + D</t>
    </r>
    <r>
      <rPr>
        <vertAlign val="superscript"/>
        <sz val="14"/>
        <color theme="1"/>
        <rFont val="Sakkal Majalla"/>
      </rPr>
      <t>2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>/D</t>
    </r>
    <r>
      <rPr>
        <vertAlign val="superscript"/>
        <sz val="14"/>
        <color theme="1"/>
        <rFont val="Sakkal Majalla"/>
      </rPr>
      <t>2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>)</t>
    </r>
  </si>
  <si>
    <r>
      <t>Critical Buckling Load, P</t>
    </r>
    <r>
      <rPr>
        <vertAlign val="subscript"/>
        <sz val="14"/>
        <color theme="1"/>
        <rFont val="Sakkal Majalla"/>
      </rPr>
      <t>cr.</t>
    </r>
    <r>
      <rPr>
        <sz val="14"/>
        <color theme="1"/>
        <rFont val="Sakkal Majalla"/>
      </rPr>
      <t xml:space="preserve"> (KN)</t>
    </r>
  </si>
  <si>
    <t>Check for Stability?</t>
  </si>
  <si>
    <r>
      <t xml:space="preserve"> Strength at Yeild, Q</t>
    </r>
    <r>
      <rPr>
        <b/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>/W (%)</t>
    </r>
  </si>
  <si>
    <t>Check for Strength at Yeild</t>
  </si>
  <si>
    <r>
      <t>Iinitial Base Shear, V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 xml:space="preserve"> (KN)</t>
    </r>
  </si>
  <si>
    <t>Building Height, H (m)</t>
  </si>
  <si>
    <t>Building Width, W (m)</t>
  </si>
  <si>
    <r>
      <t>Initial Overturning Moment, M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 xml:space="preserve"> (KN.m)</t>
    </r>
  </si>
  <si>
    <t>Check for Uplift Force</t>
  </si>
  <si>
    <t>No. of Isolators at the Farthest Gridline</t>
  </si>
  <si>
    <t>Building Length, L (m)</t>
  </si>
  <si>
    <t xml:space="preserve">Factored Dead Load for Tension Control, (KN) </t>
  </si>
  <si>
    <r>
      <t>Factored Distributed Dead Load (KN/m</t>
    </r>
    <r>
      <rPr>
        <vertAlign val="superscript"/>
        <sz val="14"/>
        <color theme="1"/>
        <rFont val="Sakkal Majalla"/>
      </rPr>
      <t>2</t>
    </r>
    <r>
      <rPr>
        <sz val="14"/>
        <color theme="1"/>
        <rFont val="Sakkal Majalla"/>
      </rPr>
      <t xml:space="preserve">) </t>
    </r>
  </si>
  <si>
    <t>Max. Allowable Tension "Uplift" Force (KN)</t>
  </si>
  <si>
    <t>Spacing Between Columns (m)</t>
  </si>
  <si>
    <t xml:space="preserve">Total Dead Load , (KN) </t>
  </si>
  <si>
    <t>Total Live Load, (KN)</t>
  </si>
  <si>
    <t>1). Buildings Geometry:</t>
  </si>
  <si>
    <t>2). Properties:</t>
  </si>
  <si>
    <t>3). Bearing Dimensions:</t>
  </si>
  <si>
    <t>4). Isolation System Force-Displacment Behavior:</t>
  </si>
  <si>
    <t>6). Required Rubber Layer Thickness:</t>
  </si>
  <si>
    <t>7). Isolators Initial Adequancy Assessment:</t>
  </si>
  <si>
    <t>Max. Compression Reaction Force (KN)</t>
  </si>
  <si>
    <t>No. of Isolators per Gridline</t>
  </si>
  <si>
    <t>Max. Tension Reaction Force (KN)</t>
  </si>
  <si>
    <t>X2</t>
  </si>
  <si>
    <t>X</t>
  </si>
  <si>
    <t>Y</t>
  </si>
  <si>
    <t>Y2</t>
  </si>
  <si>
    <t>Y1</t>
  </si>
  <si>
    <t>X1</t>
  </si>
  <si>
    <t>Decreasing Line</t>
  </si>
  <si>
    <t>Increasing Line</t>
  </si>
  <si>
    <r>
      <t>Total Thickness of Rubber, T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 xml:space="preserve"> (mm)</t>
    </r>
  </si>
  <si>
    <t>Assumed / Computed (%)</t>
  </si>
  <si>
    <r>
      <t>Vertical Stiffness, K</t>
    </r>
    <r>
      <rPr>
        <vertAlign val="subscript"/>
        <sz val="14"/>
        <color theme="1"/>
        <rFont val="Sakkal Majalla"/>
      </rPr>
      <t>v</t>
    </r>
    <r>
      <rPr>
        <sz val="14"/>
        <color theme="1"/>
        <rFont val="Sakkal Majalla"/>
      </rPr>
      <t xml:space="preserve"> (KN/m)</t>
    </r>
  </si>
  <si>
    <r>
      <t>Comoression Moulus, E</t>
    </r>
    <r>
      <rPr>
        <vertAlign val="subscript"/>
        <sz val="14"/>
        <color theme="1"/>
        <rFont val="Sakkal Majalla"/>
      </rPr>
      <t>c</t>
    </r>
    <r>
      <rPr>
        <sz val="14"/>
        <color theme="1"/>
        <rFont val="Sakkal Majalla"/>
      </rPr>
      <t xml:space="preserve"> (MPa)</t>
    </r>
  </si>
  <si>
    <t>U1 (Vertical) Effective Stiffness (KN/m)</t>
  </si>
  <si>
    <r>
      <t>Rotational Inertia 1 (ton.m</t>
    </r>
    <r>
      <rPr>
        <vertAlign val="superscript"/>
        <sz val="14"/>
        <color theme="1"/>
        <rFont val="Sakkal Majalla"/>
      </rPr>
      <t>2</t>
    </r>
    <r>
      <rPr>
        <sz val="14"/>
        <color theme="1"/>
        <rFont val="Sakkal Majalla"/>
      </rPr>
      <t>)</t>
    </r>
  </si>
  <si>
    <t>U2 and U3 Linear Effective Stiffness (KN/m)</t>
  </si>
  <si>
    <t>U2 and U3 Nonlinear Stiffness (KN/m)</t>
  </si>
  <si>
    <t>U2 and U3 Yeild Strength (KN)</t>
  </si>
  <si>
    <t>U2 and U3 Distance from End-J (m)</t>
  </si>
  <si>
    <t>U2 and U3 Post Yeild Stiffness Ratio</t>
  </si>
  <si>
    <t>Mass (kg)</t>
  </si>
  <si>
    <t>U2 and U3  Rotational Effective Stiffness (KN.m/rad.)</t>
  </si>
  <si>
    <t>Modulus of Elasticity, E (MPa)</t>
  </si>
  <si>
    <r>
      <t>Bonded Rubber Moment of Inertia, I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 xml:space="preserve"> (mm</t>
    </r>
    <r>
      <rPr>
        <vertAlign val="superscript"/>
        <sz val="14"/>
        <color theme="1"/>
        <rFont val="Sakkal Majalla"/>
      </rPr>
      <t>4</t>
    </r>
    <r>
      <rPr>
        <sz val="14"/>
        <color theme="1"/>
        <rFont val="Sakkal Majalla"/>
      </rPr>
      <t>)</t>
    </r>
  </si>
  <si>
    <r>
      <t>Rotational Stiffness, K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 xml:space="preserve"> (N.mm/rad.)</t>
    </r>
  </si>
  <si>
    <t>10). ETABS Input Values:</t>
  </si>
  <si>
    <t>9). Vertical and Rotational Properties:</t>
  </si>
  <si>
    <t>5). Equivalent Lateral Force Procedure:</t>
  </si>
  <si>
    <r>
      <t>Effective Stiffness, K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(KN/m)</t>
    </r>
  </si>
  <si>
    <r>
      <t>Effective Period, T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(sec.)</t>
    </r>
  </si>
  <si>
    <r>
      <t>Effective Damping, β</t>
    </r>
    <r>
      <rPr>
        <vertAlign val="subscript"/>
        <sz val="14"/>
        <color theme="1"/>
        <rFont val="Sakkal Majalla"/>
      </rPr>
      <t>D</t>
    </r>
  </si>
  <si>
    <r>
      <t>Displacement with Torsion, D</t>
    </r>
    <r>
      <rPr>
        <vertAlign val="subscript"/>
        <sz val="14"/>
        <color theme="1"/>
        <rFont val="Sakkal Majalla"/>
      </rPr>
      <t>TD</t>
    </r>
    <r>
      <rPr>
        <sz val="14"/>
        <color theme="1"/>
        <rFont val="Sakkal Majalla"/>
      </rPr>
      <t xml:space="preserve"> (mm)</t>
    </r>
  </si>
  <si>
    <t>8). Design Displacement by ELF</t>
  </si>
  <si>
    <r>
      <t>Damping Reduction Factor, B</t>
    </r>
    <r>
      <rPr>
        <vertAlign val="subscript"/>
        <sz val="14"/>
        <color theme="1"/>
        <rFont val="Sakkal Majalla"/>
      </rPr>
      <t>D</t>
    </r>
  </si>
  <si>
    <t>Building Fundamental Period (T)</t>
  </si>
  <si>
    <t xml:space="preserve">Factored DL &amp; LL for Compression Control, (KN) </t>
  </si>
  <si>
    <t>Amplified Story Drift (for Drift Limitation Check)</t>
  </si>
  <si>
    <r>
      <rPr>
        <sz val="14"/>
        <color theme="1"/>
        <rFont val="Calibri"/>
        <family val="2"/>
      </rPr>
      <t>Ꟙ</t>
    </r>
    <r>
      <rPr>
        <sz val="14"/>
        <color theme="1"/>
        <rFont val="Sakkal Majalla"/>
      </rPr>
      <t xml:space="preserve"> = </t>
    </r>
    <r>
      <rPr>
        <sz val="14"/>
        <color theme="1"/>
        <rFont val="Calibri"/>
        <family val="2"/>
      </rPr>
      <t>Ꟙ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 xml:space="preserve"> x C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/ I</t>
    </r>
    <r>
      <rPr>
        <vertAlign val="subscript"/>
        <sz val="14"/>
        <color theme="1"/>
        <rFont val="Sakkal Majalla"/>
      </rPr>
      <t>e</t>
    </r>
  </si>
  <si>
    <t>IMRF</t>
  </si>
  <si>
    <r>
      <t>Designed Displacement, D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(mm)</t>
    </r>
  </si>
  <si>
    <r>
      <t>Assumed Designed Displacement, D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(mm)</t>
    </r>
  </si>
  <si>
    <t>Disspated Energy (KN.m)</t>
  </si>
  <si>
    <r>
      <t>Ruber Area, A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 xml:space="preserve"> (mm</t>
    </r>
    <r>
      <rPr>
        <vertAlign val="superscript"/>
        <sz val="14"/>
        <color theme="1"/>
        <rFont val="Sakkal Majalla"/>
      </rPr>
      <t>2</t>
    </r>
    <r>
      <rPr>
        <sz val="14"/>
        <color theme="1"/>
        <rFont val="Sakkal Majalla"/>
      </rPr>
      <t>)</t>
    </r>
  </si>
  <si>
    <r>
      <t>Rubber Diameter, D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 xml:space="preserve"> (mm)</t>
    </r>
  </si>
  <si>
    <t>Range of 0.45 - 0.85 for seismic siolation applications</t>
  </si>
  <si>
    <t>Range of 6.00 to 25 mm in absence of such information</t>
  </si>
  <si>
    <t>Constantinou et al. (2011), Sec. 4.2</t>
  </si>
  <si>
    <t>Constantinou et al. (2011), EQ. 4.1</t>
  </si>
  <si>
    <r>
      <t>Q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= A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 xml:space="preserve"> x </t>
    </r>
    <r>
      <rPr>
        <sz val="14"/>
        <color theme="1"/>
        <rFont val="Calibri"/>
        <family val="2"/>
      </rPr>
      <t>ნ</t>
    </r>
    <r>
      <rPr>
        <vertAlign val="subscript"/>
        <sz val="14"/>
        <color theme="1"/>
        <rFont val="Sakkal Majalla"/>
      </rPr>
      <t>L</t>
    </r>
  </si>
  <si>
    <t>Constantinou et al. (2011), EQ. 4.2</t>
  </si>
  <si>
    <r>
      <t>K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= G x A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>/T</t>
    </r>
    <r>
      <rPr>
        <vertAlign val="subscript"/>
        <sz val="14"/>
        <color theme="1"/>
        <rFont val="Sakkal Majalla"/>
      </rPr>
      <t>r</t>
    </r>
  </si>
  <si>
    <t>Constantinou et al. (2011), EQ. 5.4</t>
  </si>
  <si>
    <t>Constantinou et al. (2011), EQ. 5.7</t>
  </si>
  <si>
    <t>Constantinou et al. (2011), Sec. 5.2</t>
  </si>
  <si>
    <t>Constantinou et al. (2011), EQ. 5.11</t>
  </si>
  <si>
    <t>Constantinou et al. (2011), Sec. 3.5</t>
  </si>
  <si>
    <r>
      <t>For providing restoring force as required by code … so that the strength at yeild (Q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>/W) is more than 5 %</t>
    </r>
  </si>
  <si>
    <t>Constantinou et al. (2011), EQ. 12.3</t>
  </si>
  <si>
    <t>Constantinou et al. (2011), EQ. 12.2</t>
  </si>
  <si>
    <t>Constantinou et al. (2011), Sec. 12.2</t>
  </si>
  <si>
    <r>
      <t>Bending stiffness is equal to E</t>
    </r>
    <r>
      <rPr>
        <vertAlign val="subscript"/>
        <sz val="14"/>
        <color theme="1"/>
        <rFont val="Sakkal Majalla"/>
      </rPr>
      <t>r</t>
    </r>
    <r>
      <rPr>
        <sz val="14"/>
        <color theme="1"/>
        <rFont val="Sakkal Majalla"/>
      </rPr>
      <t xml:space="preserve"> x I</t>
    </r>
    <r>
      <rPr>
        <vertAlign val="subscript"/>
        <sz val="14"/>
        <color theme="1"/>
        <rFont val="Sakkal Majalla"/>
      </rPr>
      <t xml:space="preserve">r </t>
    </r>
    <r>
      <rPr>
        <sz val="14"/>
        <color theme="1"/>
        <rFont val="Sakkal Majalla"/>
      </rPr>
      <t>/T</t>
    </r>
    <r>
      <rPr>
        <vertAlign val="subscript"/>
        <sz val="14"/>
        <color theme="1"/>
        <rFont val="Sakkal Majalla"/>
      </rPr>
      <t>r</t>
    </r>
  </si>
  <si>
    <r>
      <t>Rotational modulus of elasticity is almaost equal to E</t>
    </r>
    <r>
      <rPr>
        <vertAlign val="subscript"/>
        <sz val="14"/>
        <color theme="1"/>
        <rFont val="Sakkal Majalla"/>
      </rPr>
      <t>c</t>
    </r>
    <r>
      <rPr>
        <sz val="14"/>
        <color theme="1"/>
        <rFont val="Sakkal Majalla"/>
      </rPr>
      <t>/3</t>
    </r>
  </si>
  <si>
    <t>Constantinou et al. (2011), Eq. 12.6</t>
  </si>
  <si>
    <t>Constantinou et al. (2011), Eq. 12.5</t>
  </si>
  <si>
    <t>Constantinou et al. (2011), Eq. 12.7</t>
  </si>
  <si>
    <t xml:space="preserve"> FEMA 1051, Sec. 15.3.1</t>
  </si>
  <si>
    <t>SBC 301-2018, EQ. 17.1</t>
  </si>
  <si>
    <t>Constantinou et al. (2011), EQ. 3.8</t>
  </si>
  <si>
    <t>Constantinou et al. (2011), EQ. 3.6</t>
  </si>
  <si>
    <t>SBC 301-2018, EQ. 17.2 &amp; Constantinou et al. (2011), EQ. 3.5</t>
  </si>
  <si>
    <t>Constantinou et al. (2011), EQ. 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</si>
</sst>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Sakkal Majalla"/>
    </font>
    <font>
      <vertAlign val="subscript"/>
      <sz val="14"/>
      <color theme="1"/>
      <name val="Sakkal Majalla"/>
    </font>
    <font>
      <b/>
      <sz val="16"/>
      <color theme="1"/>
      <name val="Sakkal Majalla"/>
    </font>
    <font>
      <b/>
      <sz val="14"/>
      <color rgb="FF0070C0"/>
      <name val="Sakkal Majalla"/>
    </font>
    <font>
      <b/>
      <sz val="14"/>
      <color theme="1"/>
      <name val="Sakkal Majalla"/>
    </font>
    <font>
      <b/>
      <vertAlign val="subscript"/>
      <sz val="14"/>
      <color theme="1"/>
      <name val="Sakkal Majalla"/>
    </font>
    <font>
      <sz val="14"/>
      <name val="Sakkal Majalla"/>
    </font>
    <font>
      <b/>
      <sz val="14"/>
      <name val="Sakkal Majalla"/>
    </font>
    <font>
      <b/>
      <sz val="10"/>
      <color theme="1"/>
      <name val="Sakkal Majalla"/>
    </font>
    <font>
      <i/>
      <sz val="14"/>
      <color theme="1"/>
      <name val="Sakkal Majalla"/>
    </font>
    <font>
      <vertAlign val="superscript"/>
      <sz val="14"/>
      <color theme="1"/>
      <name val="Sakkal Majalla"/>
    </font>
    <font>
      <b/>
      <sz val="16"/>
      <color rgb="FF0070C0"/>
      <name val="Sakkal Majalla"/>
    </font>
    <font>
      <b/>
      <sz val="20"/>
      <color theme="1"/>
      <name val="Sakkal Majalla"/>
    </font>
    <font>
      <sz val="14"/>
      <color rgb="FF0070C0"/>
      <name val="Sakkal Majalla"/>
    </font>
    <font>
      <sz val="14"/>
      <color theme="1"/>
      <name val="Calibri"/>
      <family val="2"/>
    </font>
    <font>
      <sz val="14"/>
      <color theme="1"/>
      <name val="Sakkal Majall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5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ashed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 diagonalDown="1">
      <left style="thick">
        <color indexed="64"/>
      </left>
      <right/>
      <top/>
      <bottom/>
      <diagonal style="thick">
        <color indexed="64"/>
      </diagonal>
    </border>
    <border diagonalDown="1">
      <left/>
      <right/>
      <top/>
      <bottom/>
      <diagonal style="thick">
        <color auto="1"/>
      </diagonal>
    </border>
    <border>
      <left/>
      <right style="slantDashDot">
        <color rgb="FF0070C0"/>
      </right>
      <top/>
      <bottom style="thick">
        <color indexed="64"/>
      </bottom>
      <diagonal/>
    </border>
    <border>
      <left/>
      <right style="slantDashDot">
        <color rgb="FF0070C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/>
      <right style="thick">
        <color indexed="64"/>
      </right>
      <top/>
      <bottom/>
      <diagonal style="thick">
        <color indexed="64"/>
      </diagonal>
    </border>
    <border diagonalUp="1">
      <left/>
      <right/>
      <top/>
      <bottom/>
      <diagonal style="thick">
        <color indexed="64"/>
      </diagonal>
    </border>
    <border diagonalUp="1">
      <left/>
      <right style="slantDashDot">
        <color rgb="FF0070C0"/>
      </right>
      <top/>
      <bottom/>
      <diagonal style="thick">
        <color indexed="64"/>
      </diagonal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/>
    <xf numFmtId="0" fontId="1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vertical="center" indent="3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164" fontId="7" fillId="0" borderId="0" xfId="0" applyNumberFormat="1" applyFont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6" xfId="0" applyBorder="1"/>
    <xf numFmtId="0" fontId="3" fillId="0" borderId="0" xfId="0" applyFont="1"/>
    <xf numFmtId="0" fontId="3" fillId="0" borderId="37" xfId="0" applyFont="1" applyBorder="1"/>
    <xf numFmtId="0" fontId="3" fillId="0" borderId="35" xfId="0" applyFont="1" applyBorder="1"/>
    <xf numFmtId="0" fontId="3" fillId="0" borderId="38" xfId="0" applyFont="1" applyBorder="1"/>
    <xf numFmtId="0" fontId="3" fillId="0" borderId="40" xfId="0" applyFont="1" applyBorder="1"/>
    <xf numFmtId="0" fontId="3" fillId="0" borderId="36" xfId="0" applyFont="1" applyBorder="1"/>
    <xf numFmtId="0" fontId="3" fillId="0" borderId="30" xfId="0" applyFont="1" applyBorder="1"/>
    <xf numFmtId="0" fontId="3" fillId="0" borderId="1" xfId="0" applyFont="1" applyBorder="1"/>
    <xf numFmtId="0" fontId="3" fillId="0" borderId="39" xfId="0" applyFont="1" applyBorder="1"/>
    <xf numFmtId="0" fontId="3" fillId="0" borderId="34" xfId="0" applyFont="1" applyBorder="1"/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4" xfId="0" applyBorder="1"/>
    <xf numFmtId="0" fontId="3" fillId="0" borderId="44" xfId="0" applyFont="1" applyBorder="1"/>
    <xf numFmtId="0" fontId="3" fillId="0" borderId="43" xfId="0" applyFont="1" applyBorder="1"/>
    <xf numFmtId="0" fontId="0" fillId="0" borderId="19" xfId="0" applyBorder="1"/>
    <xf numFmtId="0" fontId="3" fillId="0" borderId="20" xfId="0" applyFont="1" applyBorder="1"/>
    <xf numFmtId="0" fontId="0" fillId="0" borderId="20" xfId="0" applyBorder="1"/>
    <xf numFmtId="0" fontId="0" fillId="0" borderId="23" xfId="0" applyBorder="1"/>
    <xf numFmtId="0" fontId="3" fillId="0" borderId="14" xfId="0" applyFont="1" applyBorder="1"/>
    <xf numFmtId="0" fontId="3" fillId="0" borderId="24" xfId="0" applyFont="1" applyBorder="1" applyAlignment="1">
      <alignment vertical="center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12" fillId="0" borderId="0" xfId="0" applyFont="1" applyAlignment="1">
      <alignment horizontal="right"/>
    </xf>
    <xf numFmtId="0" fontId="3" fillId="0" borderId="14" xfId="0" applyFont="1" applyBorder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6" fillId="0" borderId="0" xfId="0" applyFont="1"/>
    <xf numFmtId="2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68438</xdr:colOff>
      <xdr:row>7</xdr:row>
      <xdr:rowOff>54327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C49F88-315C-BE4C-BD0D-6F46FD86E9B4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C49F88-315C-BE4C-BD0D-6F46FD86E9B4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9</xdr:col>
      <xdr:colOff>65616</xdr:colOff>
      <xdr:row>8</xdr:row>
      <xdr:rowOff>51505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E7E5CD6-B2C4-4ECA-AB39-47466E491094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 b="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E7E5CD6-B2C4-4ECA-AB39-47466E491094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 b="0"/>
            </a:p>
          </xdr:txBody>
        </xdr:sp>
      </mc:Fallback>
    </mc:AlternateContent>
    <xdr:clientData/>
  </xdr:oneCellAnchor>
  <xdr:oneCellAnchor>
    <xdr:from>
      <xdr:col>3</xdr:col>
      <xdr:colOff>70555</xdr:colOff>
      <xdr:row>9</xdr:row>
      <xdr:rowOff>42333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90A737-3F23-42D7-B48E-FB11ED771B07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90A737-3F23-42D7-B48E-FB11ED771B07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3</xdr:col>
      <xdr:colOff>49389</xdr:colOff>
      <xdr:row>11</xdr:row>
      <xdr:rowOff>49389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DB193D-CC43-4B80-BC5A-353E0F6DB7B8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DB193D-CC43-4B80-BC5A-353E0F6DB7B8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3</xdr:col>
      <xdr:colOff>60678</xdr:colOff>
      <xdr:row>10</xdr:row>
      <xdr:rowOff>60678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572DD14-ED16-4AC6-92DD-A69C36275CC3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572DD14-ED16-4AC6-92DD-A69C36275CC3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17</xdr:col>
      <xdr:colOff>68438</xdr:colOff>
      <xdr:row>7</xdr:row>
      <xdr:rowOff>54327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0B55D60-65D0-4091-A09B-7B69774B9BBF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0B55D60-65D0-4091-A09B-7B69774B9BBF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20</xdr:col>
      <xdr:colOff>65616</xdr:colOff>
      <xdr:row>8</xdr:row>
      <xdr:rowOff>51505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4EFC40-84B4-4276-AF05-26B270FCA7B7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 b="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4EFC40-84B4-4276-AF05-26B270FCA7B7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 b="0"/>
            </a:p>
          </xdr:txBody>
        </xdr:sp>
      </mc:Fallback>
    </mc:AlternateContent>
    <xdr:clientData/>
  </xdr:oneCellAnchor>
  <xdr:oneCellAnchor>
    <xdr:from>
      <xdr:col>14</xdr:col>
      <xdr:colOff>70555</xdr:colOff>
      <xdr:row>9</xdr:row>
      <xdr:rowOff>42333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84A876D1-1638-4665-848F-1BCAB5B9246F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84A876D1-1638-4665-848F-1BCAB5B9246F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14</xdr:col>
      <xdr:colOff>49389</xdr:colOff>
      <xdr:row>11</xdr:row>
      <xdr:rowOff>49389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3E6397BC-C85F-4296-B606-CF627500DA70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3E6397BC-C85F-4296-B606-CF627500DA70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14</xdr:col>
      <xdr:colOff>60678</xdr:colOff>
      <xdr:row>10</xdr:row>
      <xdr:rowOff>60678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93E7D69-C9E5-4B76-A1A1-6592CDD4B078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93E7D69-C9E5-4B76-A1A1-6592CDD4B078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28</xdr:col>
      <xdr:colOff>68438</xdr:colOff>
      <xdr:row>7</xdr:row>
      <xdr:rowOff>54327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3896D04-64CE-44B6-98F8-2AFFC7D436AD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3896D04-64CE-44B6-98F8-2AFFC7D436AD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31</xdr:col>
      <xdr:colOff>65616</xdr:colOff>
      <xdr:row>8</xdr:row>
      <xdr:rowOff>51505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EF0CD9B5-13B0-4CD2-9ABA-AC3D0CC74499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 b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EF0CD9B5-13B0-4CD2-9ABA-AC3D0CC74499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 b="0"/>
            </a:p>
          </xdr:txBody>
        </xdr:sp>
      </mc:Fallback>
    </mc:AlternateContent>
    <xdr:clientData/>
  </xdr:oneCellAnchor>
  <xdr:oneCellAnchor>
    <xdr:from>
      <xdr:col>25</xdr:col>
      <xdr:colOff>70555</xdr:colOff>
      <xdr:row>9</xdr:row>
      <xdr:rowOff>42333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6D90ACC-C449-40E5-9216-6DEEFA3A7BDA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6D90ACC-C449-40E5-9216-6DEEFA3A7BDA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25</xdr:col>
      <xdr:colOff>49389</xdr:colOff>
      <xdr:row>11</xdr:row>
      <xdr:rowOff>49389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C2C509B-C886-4362-903E-D5CC92DE52C7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C2C509B-C886-4362-903E-D5CC92DE52C7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25</xdr:col>
      <xdr:colOff>60678</xdr:colOff>
      <xdr:row>10</xdr:row>
      <xdr:rowOff>60678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00A7823-1A09-494F-85A6-932D21635CF0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00A7823-1A09-494F-85A6-932D21635CF0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120650</xdr:colOff>
      <xdr:row>72</xdr:row>
      <xdr:rowOff>16932</xdr:rowOff>
    </xdr:from>
    <xdr:to>
      <xdr:col>29</xdr:col>
      <xdr:colOff>577850</xdr:colOff>
      <xdr:row>72</xdr:row>
      <xdr:rowOff>260376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2C7F2-E7A9-F611-05BE-B736731AA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40800" y="19454282"/>
          <a:ext cx="457200" cy="243444"/>
        </a:xfrm>
        <a:prstGeom prst="rect">
          <a:avLst/>
        </a:prstGeom>
      </xdr:spPr>
    </xdr:pic>
    <xdr:clientData/>
  </xdr:twoCellAnchor>
  <xdr:twoCellAnchor editAs="oneCell">
    <xdr:from>
      <xdr:col>29</xdr:col>
      <xdr:colOff>177800</xdr:colOff>
      <xdr:row>53</xdr:row>
      <xdr:rowOff>21474</xdr:rowOff>
    </xdr:from>
    <xdr:to>
      <xdr:col>29</xdr:col>
      <xdr:colOff>850900</xdr:colOff>
      <xdr:row>53</xdr:row>
      <xdr:rowOff>285777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AE6B45-FE86-730C-4106-9E2AF51EAB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897"/>
        <a:stretch/>
      </xdr:blipFill>
      <xdr:spPr>
        <a:xfrm>
          <a:off x="21697950" y="14239124"/>
          <a:ext cx="673100" cy="2643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12</xdr:row>
      <xdr:rowOff>133350</xdr:rowOff>
    </xdr:from>
    <xdr:to>
      <xdr:col>19</xdr:col>
      <xdr:colOff>19402</xdr:colOff>
      <xdr:row>26</xdr:row>
      <xdr:rowOff>152533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CAAE62-A734-A68E-141F-9C4C5FFCC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250" y="3422650"/>
          <a:ext cx="6845652" cy="2597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375B-A626-4146-B97C-B8ED8246B841}">
  <dimension ref="A2:L60"/>
  <sheetViews>
    <sheetView workbookViewId="0">
      <selection activeCell="B14" sqref="B14:D14"/>
    </sheetView>
  </sheetViews>
  <sheetFormatPr defaultRowHeight="14.5" x14ac:dyDescent="0.35"/>
  <cols>
    <col min="1" max="1" width="45.36328125" bestFit="1" customWidth="1"/>
    <col min="2" max="10" width="5.54296875" customWidth="1"/>
    <col min="11" max="11" width="18.453125" bestFit="1" customWidth="1"/>
    <col min="12" max="12" width="73.08984375" bestFit="1" customWidth="1"/>
  </cols>
  <sheetData>
    <row r="2" spans="1:12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5.5" thickTop="1" thickBot="1" x14ac:dyDescent="0.4">
      <c r="A3" s="160" t="s">
        <v>9</v>
      </c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1" t="s">
        <v>42</v>
      </c>
      <c r="L3" s="161" t="s">
        <v>55</v>
      </c>
    </row>
    <row r="4" spans="1:12" ht="25" thickBot="1" x14ac:dyDescent="0.4">
      <c r="A4" s="161"/>
      <c r="B4" s="167" t="s">
        <v>52</v>
      </c>
      <c r="C4" s="167"/>
      <c r="D4" s="172"/>
      <c r="E4" s="173" t="s">
        <v>53</v>
      </c>
      <c r="F4" s="167"/>
      <c r="G4" s="172"/>
      <c r="H4" s="173" t="s">
        <v>3</v>
      </c>
      <c r="I4" s="167"/>
      <c r="J4" s="172"/>
      <c r="K4" s="161"/>
      <c r="L4" s="161"/>
    </row>
    <row r="5" spans="1:12" ht="20" customHeight="1" thickBot="1" x14ac:dyDescent="0.4">
      <c r="A5" s="162"/>
      <c r="B5" s="8">
        <v>5</v>
      </c>
      <c r="C5" s="8">
        <v>10</v>
      </c>
      <c r="D5" s="12">
        <v>15</v>
      </c>
      <c r="E5" s="13">
        <v>5</v>
      </c>
      <c r="F5" s="8">
        <v>10</v>
      </c>
      <c r="G5" s="12">
        <v>15</v>
      </c>
      <c r="H5" s="13">
        <v>5</v>
      </c>
      <c r="I5" s="8">
        <v>10</v>
      </c>
      <c r="J5" s="12">
        <v>15</v>
      </c>
      <c r="K5" s="162"/>
      <c r="L5" s="162"/>
    </row>
    <row r="6" spans="1:12" ht="20" customHeight="1" thickTop="1" x14ac:dyDescent="0.7">
      <c r="A6" s="3" t="s">
        <v>43</v>
      </c>
      <c r="B6" s="174" t="s">
        <v>2</v>
      </c>
      <c r="C6" s="174"/>
      <c r="D6" s="175"/>
      <c r="E6" s="178" t="s">
        <v>2</v>
      </c>
      <c r="F6" s="174"/>
      <c r="G6" s="175"/>
      <c r="H6" s="178" t="s">
        <v>2</v>
      </c>
      <c r="I6" s="174"/>
      <c r="J6" s="175"/>
      <c r="K6" s="2" t="s">
        <v>10</v>
      </c>
      <c r="L6" s="1" t="s">
        <v>4</v>
      </c>
    </row>
    <row r="7" spans="1:12" ht="20" customHeight="1" x14ac:dyDescent="0.7">
      <c r="A7" s="3" t="s">
        <v>109</v>
      </c>
      <c r="B7" s="150">
        <v>1.5</v>
      </c>
      <c r="C7" s="150"/>
      <c r="D7" s="151"/>
      <c r="E7" s="179">
        <v>1.5</v>
      </c>
      <c r="F7" s="150"/>
      <c r="G7" s="151"/>
      <c r="H7" s="179">
        <v>1.5</v>
      </c>
      <c r="I7" s="150"/>
      <c r="J7" s="151"/>
      <c r="K7" s="2" t="s">
        <v>11</v>
      </c>
      <c r="L7" s="1"/>
    </row>
    <row r="8" spans="1:12" ht="20" customHeight="1" x14ac:dyDescent="0.7">
      <c r="A8" s="3" t="s">
        <v>1</v>
      </c>
      <c r="B8" s="150" t="s">
        <v>5</v>
      </c>
      <c r="C8" s="150"/>
      <c r="D8" s="151"/>
      <c r="E8" s="179" t="s">
        <v>5</v>
      </c>
      <c r="F8" s="150"/>
      <c r="G8" s="151"/>
      <c r="H8" s="179" t="s">
        <v>5</v>
      </c>
      <c r="I8" s="150"/>
      <c r="J8" s="151"/>
      <c r="K8" s="2" t="s">
        <v>12</v>
      </c>
      <c r="L8" s="1" t="s">
        <v>6</v>
      </c>
    </row>
    <row r="9" spans="1:12" ht="20" customHeight="1" x14ac:dyDescent="0.7">
      <c r="A9" s="3" t="s">
        <v>44</v>
      </c>
      <c r="B9" s="150">
        <f>1.1</f>
        <v>1.1000000000000001</v>
      </c>
      <c r="C9" s="150"/>
      <c r="D9" s="151"/>
      <c r="E9" s="179">
        <f>0.5</f>
        <v>0.5</v>
      </c>
      <c r="F9" s="150"/>
      <c r="G9" s="151"/>
      <c r="H9" s="179">
        <f>0.2</f>
        <v>0.2</v>
      </c>
      <c r="I9" s="150"/>
      <c r="J9" s="151"/>
      <c r="K9" s="2" t="s">
        <v>26</v>
      </c>
      <c r="L9" s="1"/>
    </row>
    <row r="10" spans="1:12" ht="20" customHeight="1" x14ac:dyDescent="0.7">
      <c r="A10" s="3" t="s">
        <v>7</v>
      </c>
      <c r="B10" s="150">
        <f>0.26</f>
        <v>0.26</v>
      </c>
      <c r="C10" s="150"/>
      <c r="D10" s="151"/>
      <c r="E10" s="179">
        <f>0.1</f>
        <v>0.1</v>
      </c>
      <c r="F10" s="150"/>
      <c r="G10" s="151"/>
      <c r="H10" s="179">
        <f>0.04</f>
        <v>0.04</v>
      </c>
      <c r="I10" s="150"/>
      <c r="J10" s="151"/>
      <c r="K10" s="2" t="s">
        <v>26</v>
      </c>
      <c r="L10" s="1"/>
    </row>
    <row r="11" spans="1:12" ht="20" customHeight="1" x14ac:dyDescent="0.7">
      <c r="A11" s="3" t="s">
        <v>45</v>
      </c>
      <c r="B11" s="150">
        <v>6</v>
      </c>
      <c r="C11" s="150"/>
      <c r="D11" s="151"/>
      <c r="E11" s="179">
        <v>4</v>
      </c>
      <c r="F11" s="150"/>
      <c r="G11" s="151"/>
      <c r="H11" s="179">
        <v>4</v>
      </c>
      <c r="I11" s="150"/>
      <c r="J11" s="151"/>
      <c r="K11" s="2" t="s">
        <v>27</v>
      </c>
      <c r="L11" s="1"/>
    </row>
    <row r="12" spans="1:12" ht="20" customHeight="1" x14ac:dyDescent="0.7">
      <c r="A12" s="3" t="s">
        <v>8</v>
      </c>
      <c r="B12" s="150">
        <v>1</v>
      </c>
      <c r="C12" s="150"/>
      <c r="D12" s="151"/>
      <c r="E12" s="179">
        <v>1</v>
      </c>
      <c r="F12" s="150"/>
      <c r="G12" s="151"/>
      <c r="H12" s="179">
        <v>1</v>
      </c>
      <c r="I12" s="150"/>
      <c r="J12" s="151"/>
      <c r="K12" s="2" t="s">
        <v>28</v>
      </c>
      <c r="L12" s="1"/>
    </row>
    <row r="13" spans="1:12" ht="20" customHeight="1" x14ac:dyDescent="0.7">
      <c r="A13" s="3" t="s">
        <v>17</v>
      </c>
      <c r="B13" s="150">
        <v>1</v>
      </c>
      <c r="C13" s="150"/>
      <c r="D13" s="151"/>
      <c r="E13" s="179">
        <v>1</v>
      </c>
      <c r="F13" s="150"/>
      <c r="G13" s="151"/>
      <c r="H13" s="179">
        <v>1</v>
      </c>
      <c r="I13" s="150"/>
      <c r="J13" s="151"/>
      <c r="K13" s="2" t="s">
        <v>15</v>
      </c>
      <c r="L13" s="1"/>
    </row>
    <row r="14" spans="1:12" ht="20" customHeight="1" x14ac:dyDescent="0.7">
      <c r="A14" s="3" t="s">
        <v>33</v>
      </c>
      <c r="B14" s="148">
        <f>B12*B9</f>
        <v>1.1000000000000001</v>
      </c>
      <c r="C14" s="148"/>
      <c r="D14" s="149"/>
      <c r="E14" s="180">
        <f>E12*E9</f>
        <v>0.5</v>
      </c>
      <c r="F14" s="148"/>
      <c r="G14" s="149"/>
      <c r="H14" s="180">
        <f>H12*H9</f>
        <v>0.2</v>
      </c>
      <c r="I14" s="148"/>
      <c r="J14" s="149"/>
      <c r="K14" s="2" t="s">
        <v>29</v>
      </c>
      <c r="L14" s="1"/>
    </row>
    <row r="15" spans="1:12" ht="20" customHeight="1" x14ac:dyDescent="0.7">
      <c r="A15" s="3" t="s">
        <v>13</v>
      </c>
      <c r="B15" s="148">
        <f>B13*B10</f>
        <v>0.26</v>
      </c>
      <c r="C15" s="148"/>
      <c r="D15" s="149"/>
      <c r="E15" s="180">
        <f>E13*E10</f>
        <v>0.1</v>
      </c>
      <c r="F15" s="148"/>
      <c r="G15" s="149"/>
      <c r="H15" s="180">
        <f>H13*H10</f>
        <v>0.04</v>
      </c>
      <c r="I15" s="148"/>
      <c r="J15" s="149"/>
      <c r="K15" s="2" t="s">
        <v>30</v>
      </c>
      <c r="L15" s="1"/>
    </row>
    <row r="16" spans="1:12" ht="22" x14ac:dyDescent="0.7">
      <c r="A16" s="3" t="s">
        <v>46</v>
      </c>
      <c r="B16" s="148">
        <f>(2/3)*B14</f>
        <v>0.73333333333333339</v>
      </c>
      <c r="C16" s="148"/>
      <c r="D16" s="149"/>
      <c r="E16" s="180">
        <f>(2/3)*E14</f>
        <v>0.33333333333333331</v>
      </c>
      <c r="F16" s="148"/>
      <c r="G16" s="149"/>
      <c r="H16" s="180">
        <f>(2/3)*H14</f>
        <v>0.13333333333333333</v>
      </c>
      <c r="I16" s="148"/>
      <c r="J16" s="149"/>
      <c r="K16" s="2" t="s">
        <v>31</v>
      </c>
      <c r="L16" s="1"/>
    </row>
    <row r="17" spans="1:12" ht="22" x14ac:dyDescent="0.7">
      <c r="A17" s="3" t="s">
        <v>14</v>
      </c>
      <c r="B17" s="148">
        <f>(2/3)*B15</f>
        <v>0.17333333333333334</v>
      </c>
      <c r="C17" s="148"/>
      <c r="D17" s="149"/>
      <c r="E17" s="180">
        <f>(2/3)*E15</f>
        <v>6.6666666666666666E-2</v>
      </c>
      <c r="F17" s="148"/>
      <c r="G17" s="149"/>
      <c r="H17" s="180">
        <f>(2/3)*H15</f>
        <v>2.6666666666666665E-2</v>
      </c>
      <c r="I17" s="148"/>
      <c r="J17" s="149"/>
      <c r="K17" s="2" t="s">
        <v>32</v>
      </c>
      <c r="L17" s="1"/>
    </row>
    <row r="18" spans="1:12" ht="21" x14ac:dyDescent="0.7">
      <c r="A18" s="3" t="s">
        <v>47</v>
      </c>
      <c r="B18" s="150" t="s">
        <v>34</v>
      </c>
      <c r="C18" s="150"/>
      <c r="D18" s="151"/>
      <c r="E18" s="179" t="s">
        <v>34</v>
      </c>
      <c r="F18" s="150"/>
      <c r="G18" s="151"/>
      <c r="H18" s="179" t="s">
        <v>35</v>
      </c>
      <c r="I18" s="150"/>
      <c r="J18" s="151"/>
      <c r="K18" s="2" t="s">
        <v>16</v>
      </c>
      <c r="L18" s="1"/>
    </row>
    <row r="19" spans="1:12" ht="21" x14ac:dyDescent="0.7">
      <c r="A19" s="3" t="s">
        <v>48</v>
      </c>
      <c r="B19" s="150" t="s">
        <v>34</v>
      </c>
      <c r="C19" s="150"/>
      <c r="D19" s="151"/>
      <c r="E19" s="179" t="s">
        <v>36</v>
      </c>
      <c r="F19" s="150"/>
      <c r="G19" s="151"/>
      <c r="H19" s="179" t="s">
        <v>36</v>
      </c>
      <c r="I19" s="150"/>
      <c r="J19" s="151"/>
      <c r="K19" s="2" t="s">
        <v>18</v>
      </c>
      <c r="L19" s="1"/>
    </row>
    <row r="20" spans="1:12" ht="21" x14ac:dyDescent="0.7">
      <c r="A20" s="3" t="s">
        <v>49</v>
      </c>
      <c r="B20" s="150" t="s">
        <v>34</v>
      </c>
      <c r="C20" s="150"/>
      <c r="D20" s="151"/>
      <c r="E20" s="179" t="s">
        <v>34</v>
      </c>
      <c r="F20" s="150"/>
      <c r="G20" s="151"/>
      <c r="H20" s="179" t="s">
        <v>35</v>
      </c>
      <c r="I20" s="150"/>
      <c r="J20" s="151"/>
      <c r="K20" s="2"/>
      <c r="L20" s="1"/>
    </row>
    <row r="21" spans="1:12" ht="21" x14ac:dyDescent="0.7">
      <c r="A21" s="3" t="s">
        <v>19</v>
      </c>
      <c r="B21" s="150" t="s">
        <v>37</v>
      </c>
      <c r="C21" s="150"/>
      <c r="D21" s="151"/>
      <c r="E21" s="179" t="s">
        <v>37</v>
      </c>
      <c r="F21" s="150"/>
      <c r="G21" s="151"/>
      <c r="H21" s="179" t="s">
        <v>224</v>
      </c>
      <c r="I21" s="150"/>
      <c r="J21" s="151"/>
      <c r="K21" s="2"/>
      <c r="L21" s="1"/>
    </row>
    <row r="22" spans="1:12" ht="22" x14ac:dyDescent="0.7">
      <c r="A22" s="3" t="s">
        <v>50</v>
      </c>
      <c r="B22" s="23">
        <v>4.6600000000000003E-2</v>
      </c>
      <c r="C22" s="150" t="s">
        <v>89</v>
      </c>
      <c r="D22" s="151"/>
      <c r="E22" s="24">
        <v>4.6600000000000003E-2</v>
      </c>
      <c r="F22" s="150" t="s">
        <v>89</v>
      </c>
      <c r="G22" s="151"/>
      <c r="H22" s="24">
        <v>4.6600000000000003E-2</v>
      </c>
      <c r="I22" s="150" t="s">
        <v>89</v>
      </c>
      <c r="J22" s="151"/>
      <c r="K22" s="2" t="s">
        <v>20</v>
      </c>
      <c r="L22" s="1" t="s">
        <v>40</v>
      </c>
    </row>
    <row r="23" spans="1:12" ht="21" x14ac:dyDescent="0.7">
      <c r="A23" s="3" t="s">
        <v>51</v>
      </c>
      <c r="B23" s="150">
        <v>0.9</v>
      </c>
      <c r="C23" s="150"/>
      <c r="D23" s="151"/>
      <c r="E23" s="179">
        <v>0.9</v>
      </c>
      <c r="F23" s="150"/>
      <c r="G23" s="151"/>
      <c r="H23" s="179">
        <v>0.9</v>
      </c>
      <c r="I23" s="150"/>
      <c r="J23" s="151"/>
      <c r="K23" s="2" t="s">
        <v>20</v>
      </c>
      <c r="L23" s="1"/>
    </row>
    <row r="24" spans="1:12" ht="21" x14ac:dyDescent="0.7">
      <c r="A24" s="3" t="s">
        <v>21</v>
      </c>
      <c r="B24" s="150">
        <v>6.5</v>
      </c>
      <c r="C24" s="150"/>
      <c r="D24" s="151"/>
      <c r="E24" s="179">
        <v>6.5</v>
      </c>
      <c r="F24" s="150"/>
      <c r="G24" s="151"/>
      <c r="H24" s="179">
        <v>4</v>
      </c>
      <c r="I24" s="150"/>
      <c r="J24" s="151"/>
      <c r="K24" s="2" t="s">
        <v>24</v>
      </c>
      <c r="L24" s="1"/>
    </row>
    <row r="25" spans="1:12" ht="21" x14ac:dyDescent="0.7">
      <c r="A25" s="3" t="s">
        <v>22</v>
      </c>
      <c r="B25" s="150">
        <v>3</v>
      </c>
      <c r="C25" s="150"/>
      <c r="D25" s="151"/>
      <c r="E25" s="179">
        <v>3</v>
      </c>
      <c r="F25" s="150"/>
      <c r="G25" s="151"/>
      <c r="H25" s="179">
        <v>3</v>
      </c>
      <c r="I25" s="150"/>
      <c r="J25" s="151"/>
      <c r="K25" s="2" t="s">
        <v>24</v>
      </c>
      <c r="L25" s="1"/>
    </row>
    <row r="26" spans="1:12" ht="22" x14ac:dyDescent="0.7">
      <c r="A26" s="3" t="s">
        <v>54</v>
      </c>
      <c r="B26" s="150">
        <v>5.5</v>
      </c>
      <c r="C26" s="150"/>
      <c r="D26" s="151"/>
      <c r="E26" s="179">
        <v>5.5</v>
      </c>
      <c r="F26" s="150"/>
      <c r="G26" s="151"/>
      <c r="H26" s="179">
        <v>4.5</v>
      </c>
      <c r="I26" s="150"/>
      <c r="J26" s="151"/>
      <c r="K26" s="2" t="s">
        <v>24</v>
      </c>
      <c r="L26" s="1"/>
    </row>
    <row r="27" spans="1:12" ht="21" x14ac:dyDescent="0.7">
      <c r="A27" s="3" t="s">
        <v>23</v>
      </c>
      <c r="B27" s="150" t="s">
        <v>38</v>
      </c>
      <c r="C27" s="150"/>
      <c r="D27" s="151"/>
      <c r="E27" s="179" t="s">
        <v>38</v>
      </c>
      <c r="F27" s="150"/>
      <c r="G27" s="151"/>
      <c r="H27" s="179" t="s">
        <v>38</v>
      </c>
      <c r="I27" s="150"/>
      <c r="J27" s="151"/>
      <c r="K27" s="2" t="s">
        <v>24</v>
      </c>
      <c r="L27" s="1"/>
    </row>
    <row r="28" spans="1:12" ht="21" x14ac:dyDescent="0.7">
      <c r="A28" s="3" t="s">
        <v>98</v>
      </c>
      <c r="B28" s="150">
        <f>IF(B20="C",1,1.3)</f>
        <v>1.3</v>
      </c>
      <c r="C28" s="150"/>
      <c r="D28" s="151"/>
      <c r="E28" s="179">
        <f>IF(E20="C",1,1.3)</f>
        <v>1.3</v>
      </c>
      <c r="F28" s="150"/>
      <c r="G28" s="151"/>
      <c r="H28" s="179">
        <f>IF(H20="C",1,1.3)</f>
        <v>1</v>
      </c>
      <c r="I28" s="150"/>
      <c r="J28" s="151"/>
      <c r="K28" s="2" t="s">
        <v>56</v>
      </c>
      <c r="L28" s="1"/>
    </row>
    <row r="29" spans="1:12" ht="22" x14ac:dyDescent="0.7">
      <c r="A29" s="3" t="s">
        <v>57</v>
      </c>
      <c r="B29" s="148">
        <f>0.25*B16</f>
        <v>0.18333333333333335</v>
      </c>
      <c r="C29" s="148"/>
      <c r="D29" s="149"/>
      <c r="E29" s="180">
        <f>0.25*E16</f>
        <v>8.3333333333333329E-2</v>
      </c>
      <c r="F29" s="148"/>
      <c r="G29" s="149"/>
      <c r="H29" s="180">
        <f>0.25*H16</f>
        <v>3.3333333333333333E-2</v>
      </c>
      <c r="I29" s="148"/>
      <c r="J29" s="149"/>
      <c r="K29" s="2" t="s">
        <v>58</v>
      </c>
      <c r="L29" s="1"/>
    </row>
    <row r="30" spans="1:12" ht="21" x14ac:dyDescent="0.7">
      <c r="A30" s="3" t="s">
        <v>62</v>
      </c>
      <c r="B30" s="148">
        <f>(1.2+B29)</f>
        <v>1.3833333333333333</v>
      </c>
      <c r="C30" s="148"/>
      <c r="D30" s="149"/>
      <c r="E30" s="180">
        <f>(1.2+E29)</f>
        <v>1.2833333333333332</v>
      </c>
      <c r="F30" s="148"/>
      <c r="G30" s="149"/>
      <c r="H30" s="180">
        <f>(1.2+H29)</f>
        <v>1.2333333333333334</v>
      </c>
      <c r="I30" s="148"/>
      <c r="J30" s="149"/>
      <c r="K30" s="2" t="s">
        <v>60</v>
      </c>
      <c r="L30" s="1" t="s">
        <v>61</v>
      </c>
    </row>
    <row r="31" spans="1:12" ht="21" x14ac:dyDescent="0.7">
      <c r="A31" s="3" t="s">
        <v>63</v>
      </c>
      <c r="B31" s="148">
        <f>(0.9-B29)</f>
        <v>0.71666666666666667</v>
      </c>
      <c r="C31" s="148"/>
      <c r="D31" s="149"/>
      <c r="E31" s="180">
        <f>(0.9-E29)</f>
        <v>0.81666666666666665</v>
      </c>
      <c r="F31" s="148"/>
      <c r="G31" s="149"/>
      <c r="H31" s="180">
        <f>(0.9-H29)</f>
        <v>0.8666666666666667</v>
      </c>
      <c r="I31" s="148"/>
      <c r="J31" s="149"/>
      <c r="K31" s="2" t="s">
        <v>60</v>
      </c>
      <c r="L31" s="1" t="s">
        <v>64</v>
      </c>
    </row>
    <row r="32" spans="1:12" ht="22" x14ac:dyDescent="0.7">
      <c r="A32" s="3" t="s">
        <v>86</v>
      </c>
      <c r="B32" s="2">
        <v>15</v>
      </c>
      <c r="C32" s="2">
        <v>30</v>
      </c>
      <c r="D32" s="21">
        <v>45</v>
      </c>
      <c r="E32" s="24">
        <v>15</v>
      </c>
      <c r="F32" s="2">
        <v>30</v>
      </c>
      <c r="G32" s="21">
        <v>45</v>
      </c>
      <c r="H32" s="24">
        <v>15</v>
      </c>
      <c r="I32" s="2">
        <v>30</v>
      </c>
      <c r="J32" s="21">
        <v>45</v>
      </c>
      <c r="K32" s="2"/>
      <c r="L32" s="1"/>
    </row>
    <row r="33" spans="1:12" ht="22" x14ac:dyDescent="0.7">
      <c r="A33" s="3" t="s">
        <v>87</v>
      </c>
      <c r="B33" s="150">
        <v>1.554</v>
      </c>
      <c r="C33" s="150"/>
      <c r="D33" s="151"/>
      <c r="E33" s="179">
        <v>1.7</v>
      </c>
      <c r="F33" s="150"/>
      <c r="G33" s="151"/>
      <c r="H33" s="179">
        <v>1.7</v>
      </c>
      <c r="I33" s="150"/>
      <c r="J33" s="151"/>
      <c r="K33" s="2" t="s">
        <v>88</v>
      </c>
      <c r="L33" s="1"/>
    </row>
    <row r="34" spans="1:12" ht="22" x14ac:dyDescent="0.7">
      <c r="A34" s="3" t="s">
        <v>90</v>
      </c>
      <c r="B34" s="9">
        <f>B22*(B32^B23)</f>
        <v>0.53317287884209064</v>
      </c>
      <c r="C34" s="9">
        <f>B22*(C32^B23)</f>
        <v>0.99493577230465524</v>
      </c>
      <c r="D34" s="22">
        <f>B22*(D32^B23)</f>
        <v>1.433102254068674</v>
      </c>
      <c r="E34" s="9">
        <f>E22*(E32^E23)</f>
        <v>0.53317287884209064</v>
      </c>
      <c r="F34" s="9">
        <f>E22*(F32^E23)</f>
        <v>0.99493577230465524</v>
      </c>
      <c r="G34" s="22">
        <f>E22*(G32^E23)</f>
        <v>1.433102254068674</v>
      </c>
      <c r="H34" s="25">
        <f>H22*(H32^H23)</f>
        <v>0.53317287884209064</v>
      </c>
      <c r="I34" s="9">
        <f>H22*(I32^H23)</f>
        <v>0.99493577230465524</v>
      </c>
      <c r="J34" s="22">
        <f>H22*(J32^H23)</f>
        <v>1.433102254068674</v>
      </c>
      <c r="K34" s="2" t="s">
        <v>92</v>
      </c>
      <c r="L34" s="1"/>
    </row>
    <row r="35" spans="1:12" ht="21" x14ac:dyDescent="0.7">
      <c r="A35" s="3" t="s">
        <v>91</v>
      </c>
      <c r="B35" s="9">
        <f>B34*B33</f>
        <v>0.82855065372060888</v>
      </c>
      <c r="C35" s="9">
        <f>C34*B33</f>
        <v>1.5461301901614344</v>
      </c>
      <c r="D35" s="22">
        <f>D34*B33</f>
        <v>2.2270409028227194</v>
      </c>
      <c r="E35" s="25">
        <f>E33*E34</f>
        <v>0.90639389403155401</v>
      </c>
      <c r="F35" s="9">
        <f>E33*F34</f>
        <v>1.6913908129179138</v>
      </c>
      <c r="G35" s="22">
        <f>E33*G34</f>
        <v>2.4362738319167456</v>
      </c>
      <c r="H35" s="25">
        <f>H33*H34</f>
        <v>0.90639389403155401</v>
      </c>
      <c r="I35" s="9">
        <f>H33*I34</f>
        <v>1.6913908129179138</v>
      </c>
      <c r="J35" s="22">
        <f>H33*J34</f>
        <v>2.4362738319167456</v>
      </c>
      <c r="K35" s="2" t="s">
        <v>93</v>
      </c>
      <c r="L35" s="1"/>
    </row>
    <row r="36" spans="1:12" ht="22" x14ac:dyDescent="0.7">
      <c r="A36" s="3" t="s">
        <v>94</v>
      </c>
      <c r="B36" s="27">
        <v>1.1599999999999999</v>
      </c>
      <c r="C36" s="27">
        <v>2.14</v>
      </c>
      <c r="D36" s="27">
        <v>3.0329999999999999</v>
      </c>
      <c r="E36" s="34">
        <v>1.1599999999999999</v>
      </c>
      <c r="F36" s="27">
        <v>2.14</v>
      </c>
      <c r="G36" s="37">
        <v>3.03</v>
      </c>
      <c r="H36" s="34">
        <v>1.1599999999999999</v>
      </c>
      <c r="I36" s="27">
        <v>2.14</v>
      </c>
      <c r="J36" s="37">
        <v>3.03</v>
      </c>
      <c r="K36" s="2"/>
      <c r="L36" s="1" t="s">
        <v>95</v>
      </c>
    </row>
    <row r="37" spans="1:12" ht="21" x14ac:dyDescent="0.7">
      <c r="A37" s="3" t="s">
        <v>220</v>
      </c>
      <c r="B37" s="9">
        <f>MIN(B35,B36)</f>
        <v>0.82855065372060888</v>
      </c>
      <c r="C37" s="9">
        <f>MIN(C35,C36)</f>
        <v>1.5461301901614344</v>
      </c>
      <c r="D37" s="9">
        <f>MIN(D35,D36)</f>
        <v>2.2270409028227194</v>
      </c>
      <c r="E37" s="25">
        <f t="shared" ref="E37:J37" si="0">MIN(E35,E36)</f>
        <v>0.90639389403155401</v>
      </c>
      <c r="F37" s="9">
        <f t="shared" si="0"/>
        <v>1.6913908129179138</v>
      </c>
      <c r="G37" s="22">
        <f t="shared" si="0"/>
        <v>2.4362738319167456</v>
      </c>
      <c r="H37" s="25">
        <f t="shared" si="0"/>
        <v>0.90639389403155401</v>
      </c>
      <c r="I37" s="9">
        <f t="shared" si="0"/>
        <v>1.6913908129179138</v>
      </c>
      <c r="J37" s="22">
        <f t="shared" si="0"/>
        <v>2.4362738319167456</v>
      </c>
      <c r="K37" s="2" t="s">
        <v>93</v>
      </c>
      <c r="L37" s="1"/>
    </row>
    <row r="38" spans="1:12" ht="21" x14ac:dyDescent="0.7">
      <c r="A38" s="3" t="s">
        <v>97</v>
      </c>
      <c r="B38" s="9"/>
      <c r="C38" s="9"/>
      <c r="D38" s="30" t="e">
        <f>ABS(MAX(#REF!))</f>
        <v>#REF!</v>
      </c>
      <c r="E38" s="25"/>
      <c r="F38" s="9"/>
      <c r="G38" s="21">
        <v>0.01</v>
      </c>
      <c r="H38" s="25"/>
      <c r="I38" s="9"/>
      <c r="J38" s="31" t="e">
        <f>ABS(MAX(#REF!))</f>
        <v>#REF!</v>
      </c>
      <c r="K38" s="2" t="s">
        <v>99</v>
      </c>
      <c r="L38" s="1" t="s">
        <v>100</v>
      </c>
    </row>
    <row r="39" spans="1:12" ht="21" x14ac:dyDescent="0.7">
      <c r="A39" s="3" t="s">
        <v>101</v>
      </c>
      <c r="B39" s="9"/>
      <c r="C39" s="9"/>
      <c r="D39" s="30" t="e">
        <f>IF(D38&lt;0.1,"NO","YES")</f>
        <v>#REF!</v>
      </c>
      <c r="E39" s="25"/>
      <c r="F39" s="9"/>
      <c r="G39" s="21" t="str">
        <f>IF(G38&lt;0.1,"NO","YES")</f>
        <v>NO</v>
      </c>
      <c r="H39" s="25"/>
      <c r="I39" s="9"/>
      <c r="J39" s="31" t="e">
        <f>IF(J38&lt;0.1,"NO","YES")</f>
        <v>#REF!</v>
      </c>
      <c r="K39" s="2" t="s">
        <v>102</v>
      </c>
      <c r="L39" s="1"/>
    </row>
    <row r="40" spans="1:12" ht="21" x14ac:dyDescent="0.7">
      <c r="A40" s="3" t="s">
        <v>104</v>
      </c>
      <c r="B40" s="148">
        <f>(0.01*3000)/B28</f>
        <v>23.076923076923077</v>
      </c>
      <c r="C40" s="148"/>
      <c r="D40" s="149"/>
      <c r="E40" s="180">
        <f>(0.01*3000)/E28</f>
        <v>23.076923076923077</v>
      </c>
      <c r="F40" s="148"/>
      <c r="G40" s="149"/>
      <c r="H40" s="180">
        <f>(0.01*3000)/H28</f>
        <v>30</v>
      </c>
      <c r="I40" s="148"/>
      <c r="J40" s="149"/>
      <c r="K40" s="2" t="s">
        <v>103</v>
      </c>
      <c r="L40" s="1" t="s">
        <v>110</v>
      </c>
    </row>
    <row r="41" spans="1:12" ht="22" x14ac:dyDescent="0.75">
      <c r="A41" s="3" t="s">
        <v>222</v>
      </c>
      <c r="B41" s="27">
        <f>5.756*B26/B7</f>
        <v>21.105333333333334</v>
      </c>
      <c r="C41" s="27">
        <f>5.82*B26/B7</f>
        <v>21.340000000000003</v>
      </c>
      <c r="D41" s="29">
        <f>5.702*B26/B7</f>
        <v>20.907333333333334</v>
      </c>
      <c r="E41" s="25"/>
      <c r="F41" s="9"/>
      <c r="G41" s="22"/>
      <c r="H41" s="34">
        <v>0.88500000000000001</v>
      </c>
      <c r="I41" s="27">
        <v>0.89500000000000002</v>
      </c>
      <c r="J41" s="33">
        <v>0.877</v>
      </c>
      <c r="K41" s="2"/>
      <c r="L41" s="146" t="s">
        <v>223</v>
      </c>
    </row>
    <row r="42" spans="1:12" s="140" customFormat="1" ht="22" x14ac:dyDescent="0.75">
      <c r="A42" s="134" t="s">
        <v>105</v>
      </c>
      <c r="B42" s="182">
        <f>(0.01*B7)/(B26*B28)</f>
        <v>2.0979020979020979E-3</v>
      </c>
      <c r="C42" s="182"/>
      <c r="D42" s="183"/>
      <c r="E42" s="184">
        <f>(0.01*E7)/(E26*E28)</f>
        <v>2.0979020979020979E-3</v>
      </c>
      <c r="F42" s="182"/>
      <c r="G42" s="183"/>
      <c r="H42" s="184">
        <f>(0.01*H7)/(H26*H28)</f>
        <v>3.3333333333333331E-3</v>
      </c>
      <c r="I42" s="182"/>
      <c r="J42" s="183"/>
      <c r="K42" s="138"/>
      <c r="L42" s="139" t="s">
        <v>108</v>
      </c>
    </row>
    <row r="43" spans="1:12" s="140" customFormat="1" ht="22" x14ac:dyDescent="0.7">
      <c r="A43" s="134" t="s">
        <v>106</v>
      </c>
      <c r="B43" s="141">
        <v>1.9189999999999999E-3</v>
      </c>
      <c r="C43" s="141">
        <v>1.9400000000000001E-3</v>
      </c>
      <c r="D43" s="142">
        <v>1.9009999999999999E-3</v>
      </c>
      <c r="E43" s="137"/>
      <c r="F43" s="135"/>
      <c r="G43" s="136"/>
      <c r="H43" s="143">
        <v>2.9500000000000001E-4</v>
      </c>
      <c r="I43" s="144">
        <v>2.9799999999999998E-4</v>
      </c>
      <c r="J43" s="145">
        <v>2.92E-4</v>
      </c>
      <c r="K43" s="138"/>
      <c r="L43" s="139"/>
    </row>
    <row r="44" spans="1:12" ht="21" x14ac:dyDescent="0.7">
      <c r="A44" s="3" t="s">
        <v>107</v>
      </c>
      <c r="B44" s="9" t="str">
        <f>IF(B41&lt;B40,"OK","NOT")</f>
        <v>OK</v>
      </c>
      <c r="C44" s="9" t="str">
        <f>IF(C43&lt;B42,"OK","NOT")</f>
        <v>OK</v>
      </c>
      <c r="D44" s="32" t="str">
        <f>IF(D43&lt;B42,"OK","NOT")</f>
        <v>OK</v>
      </c>
      <c r="E44" s="25" t="str">
        <f>IF(E43&lt;E42,"OK","NOT")</f>
        <v>OK</v>
      </c>
      <c r="F44" s="9" t="str">
        <f>IF(F43&lt;E42,"OK","NOT")</f>
        <v>OK</v>
      </c>
      <c r="G44" s="22" t="str">
        <f>IF(G43&lt;E42,"OK","NOT")</f>
        <v>OK</v>
      </c>
      <c r="H44" s="25" t="str">
        <f>IF(H43&lt;H42,"OK","NOT")</f>
        <v>OK</v>
      </c>
      <c r="I44" s="9" t="str">
        <f>IF(I43&lt;H42,"OK","NOT")</f>
        <v>OK</v>
      </c>
      <c r="J44" s="22" t="str">
        <f>IF(J43&lt;H42,"OK","NOT")</f>
        <v>OK</v>
      </c>
      <c r="K44" s="2"/>
      <c r="L44" s="1"/>
    </row>
    <row r="45" spans="1:12" ht="21" x14ac:dyDescent="0.7">
      <c r="A45" s="3" t="s">
        <v>111</v>
      </c>
      <c r="B45" s="27">
        <v>5.7560000000000002</v>
      </c>
      <c r="C45" s="27">
        <v>5.82</v>
      </c>
      <c r="D45" s="36">
        <v>5.702</v>
      </c>
      <c r="E45" s="25"/>
      <c r="F45" s="9"/>
      <c r="G45" s="22"/>
      <c r="H45" s="25"/>
      <c r="I45" s="9"/>
      <c r="J45" s="22"/>
      <c r="K45" s="2"/>
      <c r="L45" s="1"/>
    </row>
    <row r="46" spans="1:12" ht="21" x14ac:dyDescent="0.7">
      <c r="A46" s="3" t="s">
        <v>112</v>
      </c>
      <c r="B46" s="27">
        <v>5.1719999999999997</v>
      </c>
      <c r="C46" s="27">
        <v>5.2640000000000002</v>
      </c>
      <c r="D46" s="35">
        <v>5.1790000000000003</v>
      </c>
      <c r="E46" s="25"/>
      <c r="F46" s="9"/>
      <c r="G46" s="22"/>
      <c r="H46" s="34"/>
      <c r="I46" s="27"/>
      <c r="J46" s="33"/>
      <c r="K46" s="2"/>
      <c r="L46" s="1"/>
    </row>
    <row r="47" spans="1:12" ht="21" x14ac:dyDescent="0.7">
      <c r="A47" s="3" t="s">
        <v>113</v>
      </c>
      <c r="B47" s="9" t="str">
        <f>IF((B46*1.2)&lt;B45,"NOT","OK")</f>
        <v>OK</v>
      </c>
      <c r="C47" s="9" t="str">
        <f>IF((C46*1.2)&lt;C45,"NOT","OK")</f>
        <v>OK</v>
      </c>
      <c r="D47" s="32" t="str">
        <f>IF((D46*1.2)&lt;D45,"NOT","OK")</f>
        <v>OK</v>
      </c>
      <c r="E47" s="25"/>
      <c r="F47" s="9"/>
      <c r="G47" s="22"/>
      <c r="H47" s="34"/>
      <c r="I47" s="27"/>
      <c r="J47" s="33"/>
      <c r="K47" s="2" t="s">
        <v>117</v>
      </c>
      <c r="L47" s="1"/>
    </row>
    <row r="48" spans="1:12" ht="21" x14ac:dyDescent="0.7">
      <c r="A48" s="3" t="s">
        <v>114</v>
      </c>
      <c r="B48" s="27" t="s">
        <v>119</v>
      </c>
      <c r="C48" s="27" t="s">
        <v>119</v>
      </c>
      <c r="D48" s="27" t="s">
        <v>119</v>
      </c>
      <c r="E48" s="34"/>
      <c r="F48" s="27"/>
      <c r="G48" s="37"/>
      <c r="H48" s="34"/>
      <c r="I48" s="27"/>
      <c r="J48" s="38"/>
      <c r="K48" s="2" t="s">
        <v>116</v>
      </c>
      <c r="L48" s="1" t="s">
        <v>118</v>
      </c>
    </row>
    <row r="49" spans="1:12" ht="21" x14ac:dyDescent="0.7">
      <c r="A49" s="3" t="s">
        <v>120</v>
      </c>
      <c r="B49" s="27" t="s">
        <v>115</v>
      </c>
      <c r="C49" s="27" t="s">
        <v>115</v>
      </c>
      <c r="D49" s="27" t="s">
        <v>115</v>
      </c>
      <c r="E49" s="34"/>
      <c r="F49" s="27"/>
      <c r="G49" s="37"/>
      <c r="H49" s="34"/>
      <c r="I49" s="27"/>
      <c r="J49" s="38"/>
      <c r="K49" s="2" t="s">
        <v>116</v>
      </c>
      <c r="L49" s="1" t="s">
        <v>118</v>
      </c>
    </row>
    <row r="50" spans="1:12" ht="21" x14ac:dyDescent="0.7">
      <c r="A50" s="3" t="s">
        <v>122</v>
      </c>
      <c r="B50" s="29">
        <v>6.4269999999999996</v>
      </c>
      <c r="C50" s="29">
        <v>10.462</v>
      </c>
      <c r="D50" s="29">
        <v>14.44</v>
      </c>
      <c r="E50" s="34"/>
      <c r="F50" s="27"/>
      <c r="G50" s="37"/>
      <c r="H50" s="34"/>
      <c r="I50" s="27"/>
      <c r="J50" s="38"/>
      <c r="K50" s="2"/>
      <c r="L50" s="1"/>
    </row>
    <row r="51" spans="1:12" ht="21" x14ac:dyDescent="0.7">
      <c r="A51" s="3" t="s">
        <v>123</v>
      </c>
      <c r="B51" s="29">
        <v>6.4269999999999996</v>
      </c>
      <c r="C51" s="29">
        <v>10.462</v>
      </c>
      <c r="D51" s="27">
        <v>14.44</v>
      </c>
      <c r="E51" s="34"/>
      <c r="F51" s="27"/>
      <c r="G51" s="37"/>
      <c r="H51" s="34"/>
      <c r="I51" s="27"/>
      <c r="J51" s="38"/>
      <c r="K51" s="2"/>
      <c r="L51" s="1"/>
    </row>
    <row r="52" spans="1:12" ht="21" x14ac:dyDescent="0.7">
      <c r="A52" s="3" t="s">
        <v>124</v>
      </c>
      <c r="B52" s="27" t="str">
        <f>IF((B51*1.2)&lt;B50,"NOT","OK")</f>
        <v>OK</v>
      </c>
      <c r="C52" s="27" t="str">
        <f>IF((C51*1.2)&lt;C50,"NOT","OK")</f>
        <v>OK</v>
      </c>
      <c r="D52" s="27" t="str">
        <f>IF((D51*1.2)&lt;D50,"NOT","OK")</f>
        <v>OK</v>
      </c>
      <c r="E52" s="34"/>
      <c r="F52" s="27"/>
      <c r="G52" s="37"/>
      <c r="H52" s="34"/>
      <c r="I52" s="27"/>
      <c r="J52" s="38"/>
      <c r="K52" s="2" t="s">
        <v>117</v>
      </c>
      <c r="L52" s="1"/>
    </row>
    <row r="53" spans="1:12" ht="21" x14ac:dyDescent="0.7">
      <c r="A53" s="3" t="s">
        <v>125</v>
      </c>
      <c r="B53" s="27" t="s">
        <v>115</v>
      </c>
      <c r="C53" s="27" t="s">
        <v>115</v>
      </c>
      <c r="D53" s="27" t="s">
        <v>115</v>
      </c>
      <c r="E53" s="34" t="s">
        <v>115</v>
      </c>
      <c r="F53" s="27" t="s">
        <v>115</v>
      </c>
      <c r="G53" s="37" t="s">
        <v>115</v>
      </c>
      <c r="H53" s="34" t="s">
        <v>115</v>
      </c>
      <c r="I53" s="27" t="s">
        <v>115</v>
      </c>
      <c r="J53" s="38" t="s">
        <v>115</v>
      </c>
      <c r="K53" s="2" t="s">
        <v>117</v>
      </c>
      <c r="L53" s="1"/>
    </row>
    <row r="54" spans="1:12" ht="21" x14ac:dyDescent="0.7">
      <c r="A54" s="3" t="s">
        <v>127</v>
      </c>
      <c r="B54" s="9" t="str">
        <f t="shared" ref="B54:J54" si="1">IF(B53="OK","NO","YES")</f>
        <v>NO</v>
      </c>
      <c r="C54" s="9" t="str">
        <f t="shared" si="1"/>
        <v>NO</v>
      </c>
      <c r="D54" s="22" t="str">
        <f t="shared" si="1"/>
        <v>NO</v>
      </c>
      <c r="E54" s="9" t="str">
        <f t="shared" si="1"/>
        <v>NO</v>
      </c>
      <c r="F54" s="9" t="str">
        <f t="shared" si="1"/>
        <v>NO</v>
      </c>
      <c r="G54" s="22" t="str">
        <f t="shared" si="1"/>
        <v>NO</v>
      </c>
      <c r="H54" s="9" t="str">
        <f t="shared" si="1"/>
        <v>NO</v>
      </c>
      <c r="I54" s="9" t="str">
        <f t="shared" si="1"/>
        <v>NO</v>
      </c>
      <c r="J54" s="22" t="str">
        <f t="shared" si="1"/>
        <v>NO</v>
      </c>
      <c r="K54" s="2" t="s">
        <v>126</v>
      </c>
      <c r="L54" s="1"/>
    </row>
    <row r="55" spans="1:12" ht="21.5" thickBot="1" x14ac:dyDescent="0.75">
      <c r="A55" s="4" t="s">
        <v>41</v>
      </c>
      <c r="B55" s="176" t="s">
        <v>121</v>
      </c>
      <c r="C55" s="176"/>
      <c r="D55" s="177"/>
      <c r="E55" s="181" t="s">
        <v>39</v>
      </c>
      <c r="F55" s="176"/>
      <c r="G55" s="177"/>
      <c r="H55" s="181" t="s">
        <v>39</v>
      </c>
      <c r="I55" s="176"/>
      <c r="J55" s="177"/>
      <c r="K55" s="7" t="s">
        <v>25</v>
      </c>
      <c r="L55" s="5"/>
    </row>
    <row r="56" spans="1:12" ht="15" thickTop="1" x14ac:dyDescent="0.35"/>
    <row r="58" spans="1:12" x14ac:dyDescent="0.35">
      <c r="G58" s="11"/>
      <c r="H58" s="11"/>
      <c r="I58" s="11"/>
    </row>
    <row r="60" spans="1:12" x14ac:dyDescent="0.35">
      <c r="A60" s="10"/>
      <c r="B60" s="10"/>
      <c r="C60" s="10"/>
      <c r="G60" s="11"/>
      <c r="H60" s="11"/>
      <c r="I60" s="11"/>
      <c r="J60" s="11"/>
    </row>
  </sheetData>
  <mergeCells count="97">
    <mergeCell ref="E40:G40"/>
    <mergeCell ref="H40:J40"/>
    <mergeCell ref="B42:D42"/>
    <mergeCell ref="E42:G42"/>
    <mergeCell ref="H42:J42"/>
    <mergeCell ref="H55:J55"/>
    <mergeCell ref="H25:J25"/>
    <mergeCell ref="H26:J26"/>
    <mergeCell ref="H27:J27"/>
    <mergeCell ref="H28:J28"/>
    <mergeCell ref="H29:J29"/>
    <mergeCell ref="H23:J23"/>
    <mergeCell ref="H24:J24"/>
    <mergeCell ref="H30:J30"/>
    <mergeCell ref="H31:J31"/>
    <mergeCell ref="H33:J33"/>
    <mergeCell ref="H18:J18"/>
    <mergeCell ref="H19:J19"/>
    <mergeCell ref="H20:J20"/>
    <mergeCell ref="H21:J21"/>
    <mergeCell ref="I22:J22"/>
    <mergeCell ref="E31:G31"/>
    <mergeCell ref="E33:G33"/>
    <mergeCell ref="E55:G55"/>
    <mergeCell ref="H4:J4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E16:G16"/>
    <mergeCell ref="E17:G17"/>
    <mergeCell ref="B31:D31"/>
    <mergeCell ref="E18:G18"/>
    <mergeCell ref="E19:G19"/>
    <mergeCell ref="E20:G20"/>
    <mergeCell ref="E21:G21"/>
    <mergeCell ref="F22:G22"/>
    <mergeCell ref="E23:G23"/>
    <mergeCell ref="E24:G24"/>
    <mergeCell ref="E25:G25"/>
    <mergeCell ref="E26:G26"/>
    <mergeCell ref="E27:G27"/>
    <mergeCell ref="E28:G28"/>
    <mergeCell ref="E29:G29"/>
    <mergeCell ref="E30:G30"/>
    <mergeCell ref="E11:G11"/>
    <mergeCell ref="E12:G12"/>
    <mergeCell ref="E13:G13"/>
    <mergeCell ref="E14:G14"/>
    <mergeCell ref="E15:G15"/>
    <mergeCell ref="E6:G6"/>
    <mergeCell ref="E7:G7"/>
    <mergeCell ref="E8:G8"/>
    <mergeCell ref="E9:G9"/>
    <mergeCell ref="E10:G10"/>
    <mergeCell ref="B55:D55"/>
    <mergeCell ref="B40:D40"/>
    <mergeCell ref="B26:D26"/>
    <mergeCell ref="B27:D27"/>
    <mergeCell ref="B28:D28"/>
    <mergeCell ref="B29:D29"/>
    <mergeCell ref="B30:D30"/>
    <mergeCell ref="B33:D33"/>
    <mergeCell ref="B21:D21"/>
    <mergeCell ref="B23:D23"/>
    <mergeCell ref="B24:D24"/>
    <mergeCell ref="B25:D25"/>
    <mergeCell ref="B16:D16"/>
    <mergeCell ref="B17:D17"/>
    <mergeCell ref="B18:D18"/>
    <mergeCell ref="B19:D19"/>
    <mergeCell ref="B20:D20"/>
    <mergeCell ref="C22:D22"/>
    <mergeCell ref="B11:D11"/>
    <mergeCell ref="B12:D12"/>
    <mergeCell ref="B13:D13"/>
    <mergeCell ref="B14:D14"/>
    <mergeCell ref="B15:D15"/>
    <mergeCell ref="B6:D6"/>
    <mergeCell ref="B7:D7"/>
    <mergeCell ref="B8:D8"/>
    <mergeCell ref="B9:D9"/>
    <mergeCell ref="B10:D10"/>
    <mergeCell ref="K3:K5"/>
    <mergeCell ref="L3:L5"/>
    <mergeCell ref="A3:A5"/>
    <mergeCell ref="B3:J3"/>
    <mergeCell ref="B4:D4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4641-3960-4800-9289-C1DFE7A4CF81}">
  <dimension ref="A2:AJ13"/>
  <sheetViews>
    <sheetView zoomScale="90" zoomScaleNormal="90" workbookViewId="0">
      <selection activeCell="Q21" sqref="Q21"/>
    </sheetView>
  </sheetViews>
  <sheetFormatPr defaultRowHeight="14.5" x14ac:dyDescent="0.35"/>
  <cols>
    <col min="1" max="1" width="42.81640625" customWidth="1"/>
    <col min="2" max="2" width="12" bestFit="1" customWidth="1"/>
    <col min="3" max="4" width="3.54296875" customWidth="1"/>
    <col min="5" max="5" width="3.90625" bestFit="1" customWidth="1"/>
    <col min="6" max="7" width="3.54296875" customWidth="1"/>
    <col min="8" max="8" width="3.90625" bestFit="1" customWidth="1"/>
    <col min="9" max="12" width="3.54296875" customWidth="1"/>
    <col min="13" max="13" width="12" bestFit="1" customWidth="1"/>
    <col min="14" max="15" width="3.54296875" customWidth="1"/>
    <col min="16" max="16" width="3.90625" bestFit="1" customWidth="1"/>
    <col min="17" max="18" width="3.54296875" customWidth="1"/>
    <col min="19" max="19" width="3.90625" bestFit="1" customWidth="1"/>
    <col min="20" max="23" width="3.54296875" customWidth="1"/>
    <col min="24" max="24" width="12" bestFit="1" customWidth="1"/>
    <col min="25" max="26" width="3.54296875" customWidth="1"/>
    <col min="27" max="27" width="3.90625" bestFit="1" customWidth="1"/>
    <col min="28" max="29" width="3.54296875" customWidth="1"/>
    <col min="30" max="30" width="3.90625" bestFit="1" customWidth="1"/>
    <col min="31" max="34" width="3.54296875" customWidth="1"/>
    <col min="35" max="35" width="18.453125" bestFit="1" customWidth="1"/>
    <col min="36" max="36" width="33.54296875" customWidth="1"/>
  </cols>
  <sheetData>
    <row r="2" spans="1:36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25.5" thickTop="1" thickBot="1" x14ac:dyDescent="0.4">
      <c r="A3" s="160" t="s">
        <v>85</v>
      </c>
      <c r="B3" s="187" t="s">
        <v>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61" t="s">
        <v>42</v>
      </c>
      <c r="AJ3" s="161" t="s">
        <v>55</v>
      </c>
    </row>
    <row r="4" spans="1:36" ht="20" customHeight="1" thickTop="1" thickBot="1" x14ac:dyDescent="0.4">
      <c r="A4" s="162"/>
      <c r="B4" s="162" t="s">
        <v>52</v>
      </c>
      <c r="C4" s="162"/>
      <c r="D4" s="162"/>
      <c r="E4" s="162"/>
      <c r="F4" s="162"/>
      <c r="G4" s="162"/>
      <c r="H4" s="162"/>
      <c r="I4" s="162"/>
      <c r="J4" s="162"/>
      <c r="K4" s="162"/>
      <c r="L4" s="185"/>
      <c r="M4" s="162" t="s">
        <v>53</v>
      </c>
      <c r="N4" s="162"/>
      <c r="O4" s="162"/>
      <c r="P4" s="162"/>
      <c r="Q4" s="162"/>
      <c r="R4" s="162"/>
      <c r="S4" s="162"/>
      <c r="T4" s="162"/>
      <c r="U4" s="162"/>
      <c r="V4" s="162"/>
      <c r="W4" s="185"/>
      <c r="X4" s="186" t="s">
        <v>3</v>
      </c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</row>
    <row r="5" spans="1:36" ht="20" customHeight="1" thickTop="1" x14ac:dyDescent="0.7">
      <c r="A5" s="3" t="s">
        <v>65</v>
      </c>
      <c r="B5" s="14">
        <v>1.4</v>
      </c>
      <c r="C5" s="14" t="s">
        <v>34</v>
      </c>
      <c r="D5" s="14"/>
      <c r="E5" s="14"/>
      <c r="F5" s="14"/>
      <c r="G5" s="14"/>
      <c r="H5" s="14"/>
      <c r="I5" s="14"/>
      <c r="J5" s="14"/>
      <c r="K5" s="14"/>
      <c r="L5" s="15"/>
      <c r="M5" s="14">
        <v>1.4</v>
      </c>
      <c r="N5" s="14" t="s">
        <v>34</v>
      </c>
      <c r="O5" s="14"/>
      <c r="P5" s="14"/>
      <c r="Q5" s="14"/>
      <c r="R5" s="14"/>
      <c r="S5" s="14"/>
      <c r="T5" s="14"/>
      <c r="U5" s="14"/>
      <c r="V5" s="14"/>
      <c r="W5" s="15"/>
      <c r="X5" s="14">
        <v>1.4</v>
      </c>
      <c r="Y5" s="14" t="s">
        <v>34</v>
      </c>
      <c r="Z5" s="14"/>
      <c r="AA5" s="14"/>
      <c r="AB5" s="14"/>
      <c r="AC5" s="14"/>
      <c r="AD5" s="14"/>
      <c r="AE5" s="14"/>
      <c r="AF5" s="14"/>
      <c r="AG5" s="14"/>
      <c r="AH5" s="15"/>
      <c r="AI5" s="2" t="s">
        <v>77</v>
      </c>
      <c r="AJ5" s="1"/>
    </row>
    <row r="6" spans="1:36" ht="20" customHeight="1" x14ac:dyDescent="0.7">
      <c r="A6" s="3" t="s">
        <v>67</v>
      </c>
      <c r="B6" s="14">
        <v>1.4</v>
      </c>
      <c r="C6" s="14" t="s">
        <v>34</v>
      </c>
      <c r="D6" s="14" t="s">
        <v>59</v>
      </c>
      <c r="E6" s="14">
        <v>1.7</v>
      </c>
      <c r="F6" s="14" t="s">
        <v>75</v>
      </c>
      <c r="G6" s="14" t="s">
        <v>59</v>
      </c>
      <c r="H6" s="14">
        <v>0.5</v>
      </c>
      <c r="I6" s="14" t="s">
        <v>73</v>
      </c>
      <c r="J6" s="14"/>
      <c r="K6" s="14"/>
      <c r="L6" s="15"/>
      <c r="M6" s="14">
        <v>1.4</v>
      </c>
      <c r="N6" s="14" t="s">
        <v>34</v>
      </c>
      <c r="O6" s="14" t="s">
        <v>59</v>
      </c>
      <c r="P6" s="14">
        <v>1.7</v>
      </c>
      <c r="Q6" s="14" t="s">
        <v>75</v>
      </c>
      <c r="R6" s="14" t="s">
        <v>59</v>
      </c>
      <c r="S6" s="14">
        <v>0.5</v>
      </c>
      <c r="T6" s="14" t="s">
        <v>73</v>
      </c>
      <c r="U6" s="14"/>
      <c r="V6" s="14"/>
      <c r="W6" s="15"/>
      <c r="X6" s="14">
        <v>1.4</v>
      </c>
      <c r="Y6" s="14" t="s">
        <v>34</v>
      </c>
      <c r="Z6" s="14" t="s">
        <v>59</v>
      </c>
      <c r="AA6" s="14">
        <v>1.7</v>
      </c>
      <c r="AB6" s="14" t="s">
        <v>75</v>
      </c>
      <c r="AC6" s="14" t="s">
        <v>59</v>
      </c>
      <c r="AD6" s="14">
        <v>0.5</v>
      </c>
      <c r="AE6" s="14" t="s">
        <v>73</v>
      </c>
      <c r="AF6" s="14"/>
      <c r="AG6" s="14"/>
      <c r="AH6" s="15"/>
      <c r="AI6" s="2" t="s">
        <v>78</v>
      </c>
      <c r="AJ6" s="1"/>
    </row>
    <row r="7" spans="1:36" ht="20" customHeight="1" x14ac:dyDescent="0.7">
      <c r="A7" s="3" t="s">
        <v>68</v>
      </c>
      <c r="B7" s="14">
        <v>1.2</v>
      </c>
      <c r="C7" s="14" t="s">
        <v>34</v>
      </c>
      <c r="D7" s="14" t="s">
        <v>59</v>
      </c>
      <c r="E7" s="19">
        <v>1</v>
      </c>
      <c r="F7" s="14" t="s">
        <v>75</v>
      </c>
      <c r="G7" s="14" t="s">
        <v>59</v>
      </c>
      <c r="H7" s="14">
        <v>1.6</v>
      </c>
      <c r="I7" s="14" t="s">
        <v>73</v>
      </c>
      <c r="J7" s="14"/>
      <c r="K7" s="14"/>
      <c r="L7" s="15"/>
      <c r="M7" s="14">
        <v>1.2</v>
      </c>
      <c r="N7" s="14" t="s">
        <v>34</v>
      </c>
      <c r="O7" s="14" t="s">
        <v>59</v>
      </c>
      <c r="P7" s="19">
        <v>1</v>
      </c>
      <c r="Q7" s="14" t="s">
        <v>75</v>
      </c>
      <c r="R7" s="14" t="s">
        <v>59</v>
      </c>
      <c r="S7" s="14">
        <v>1.6</v>
      </c>
      <c r="T7" s="14" t="s">
        <v>73</v>
      </c>
      <c r="U7" s="14"/>
      <c r="V7" s="14"/>
      <c r="W7" s="15"/>
      <c r="X7" s="14">
        <v>1.2</v>
      </c>
      <c r="Y7" s="14" t="s">
        <v>34</v>
      </c>
      <c r="Z7" s="14" t="s">
        <v>59</v>
      </c>
      <c r="AA7" s="19">
        <v>1</v>
      </c>
      <c r="AB7" s="14" t="s">
        <v>75</v>
      </c>
      <c r="AC7" s="14" t="s">
        <v>59</v>
      </c>
      <c r="AD7" s="14">
        <v>1.6</v>
      </c>
      <c r="AE7" s="14" t="s">
        <v>73</v>
      </c>
      <c r="AF7" s="14"/>
      <c r="AG7" s="14"/>
      <c r="AH7" s="15"/>
      <c r="AI7" s="2" t="s">
        <v>79</v>
      </c>
      <c r="AJ7" s="1"/>
    </row>
    <row r="8" spans="1:36" ht="20" customHeight="1" x14ac:dyDescent="0.7">
      <c r="A8" s="3" t="s">
        <v>69</v>
      </c>
      <c r="B8" s="14">
        <v>1.2</v>
      </c>
      <c r="C8" s="14" t="s">
        <v>34</v>
      </c>
      <c r="D8" s="14" t="s">
        <v>59</v>
      </c>
      <c r="E8" s="14">
        <v>1.6</v>
      </c>
      <c r="F8" s="14" t="s">
        <v>73</v>
      </c>
      <c r="G8" s="14"/>
      <c r="H8" s="14">
        <v>0.5</v>
      </c>
      <c r="I8" s="14" t="s">
        <v>74</v>
      </c>
      <c r="J8" s="14"/>
      <c r="K8" s="14"/>
      <c r="L8" s="15"/>
      <c r="M8" s="14">
        <v>1.2</v>
      </c>
      <c r="N8" s="14" t="s">
        <v>34</v>
      </c>
      <c r="O8" s="14" t="s">
        <v>59</v>
      </c>
      <c r="P8" s="14">
        <v>1.6</v>
      </c>
      <c r="Q8" s="14" t="s">
        <v>73</v>
      </c>
      <c r="R8" s="14"/>
      <c r="S8" s="14">
        <v>0.5</v>
      </c>
      <c r="T8" s="14" t="s">
        <v>74</v>
      </c>
      <c r="U8" s="14"/>
      <c r="V8" s="14"/>
      <c r="W8" s="15"/>
      <c r="X8" s="14">
        <v>1.2</v>
      </c>
      <c r="Y8" s="14" t="s">
        <v>34</v>
      </c>
      <c r="Z8" s="14" t="s">
        <v>59</v>
      </c>
      <c r="AA8" s="14">
        <v>1.6</v>
      </c>
      <c r="AB8" s="14" t="s">
        <v>73</v>
      </c>
      <c r="AC8" s="14"/>
      <c r="AD8" s="14">
        <v>0.5</v>
      </c>
      <c r="AE8" s="14" t="s">
        <v>74</v>
      </c>
      <c r="AF8" s="14"/>
      <c r="AG8" s="14"/>
      <c r="AH8" s="15"/>
      <c r="AI8" s="2" t="s">
        <v>79</v>
      </c>
      <c r="AJ8" s="1"/>
    </row>
    <row r="9" spans="1:36" ht="20" customHeight="1" x14ac:dyDescent="0.7">
      <c r="A9" s="3" t="s">
        <v>70</v>
      </c>
      <c r="B9" s="14">
        <v>1.2</v>
      </c>
      <c r="C9" s="14" t="s">
        <v>34</v>
      </c>
      <c r="D9" s="14" t="s">
        <v>59</v>
      </c>
      <c r="E9" s="19">
        <v>1</v>
      </c>
      <c r="F9" s="14" t="s">
        <v>75</v>
      </c>
      <c r="G9" s="14" t="s">
        <v>59</v>
      </c>
      <c r="H9" s="14">
        <v>0.5</v>
      </c>
      <c r="I9" s="14" t="s">
        <v>73</v>
      </c>
      <c r="J9" s="14"/>
      <c r="K9" s="19">
        <v>1</v>
      </c>
      <c r="L9" s="15" t="s">
        <v>74</v>
      </c>
      <c r="M9" s="14">
        <v>1.2</v>
      </c>
      <c r="N9" s="14" t="s">
        <v>34</v>
      </c>
      <c r="O9" s="14" t="s">
        <v>59</v>
      </c>
      <c r="P9" s="19">
        <v>1</v>
      </c>
      <c r="Q9" s="14" t="s">
        <v>75</v>
      </c>
      <c r="R9" s="14" t="s">
        <v>59</v>
      </c>
      <c r="S9" s="14">
        <v>0.5</v>
      </c>
      <c r="T9" s="14" t="s">
        <v>73</v>
      </c>
      <c r="U9" s="14"/>
      <c r="V9" s="19">
        <v>1</v>
      </c>
      <c r="W9" s="15" t="s">
        <v>74</v>
      </c>
      <c r="X9" s="14">
        <v>1.2</v>
      </c>
      <c r="Y9" s="14" t="s">
        <v>34</v>
      </c>
      <c r="Z9" s="14" t="s">
        <v>59</v>
      </c>
      <c r="AA9" s="19">
        <v>1</v>
      </c>
      <c r="AB9" s="14" t="s">
        <v>75</v>
      </c>
      <c r="AC9" s="14" t="s">
        <v>59</v>
      </c>
      <c r="AD9" s="14">
        <v>0.5</v>
      </c>
      <c r="AE9" s="14" t="s">
        <v>73</v>
      </c>
      <c r="AF9" s="14"/>
      <c r="AG9" s="19">
        <v>1</v>
      </c>
      <c r="AH9" s="15" t="s">
        <v>74</v>
      </c>
      <c r="AI9" s="2" t="s">
        <v>80</v>
      </c>
      <c r="AJ9" s="1"/>
    </row>
    <row r="10" spans="1:36" ht="20" customHeight="1" x14ac:dyDescent="0.7">
      <c r="A10" s="3" t="s">
        <v>71</v>
      </c>
      <c r="B10" s="14">
        <v>0.9</v>
      </c>
      <c r="C10" s="14" t="s">
        <v>34</v>
      </c>
      <c r="D10" s="14"/>
      <c r="E10" s="19">
        <v>1</v>
      </c>
      <c r="F10" s="14" t="s">
        <v>74</v>
      </c>
      <c r="G10" s="14"/>
      <c r="H10" s="14"/>
      <c r="I10" s="14"/>
      <c r="J10" s="14"/>
      <c r="K10" s="14"/>
      <c r="L10" s="15"/>
      <c r="M10" s="14">
        <v>0.9</v>
      </c>
      <c r="N10" s="14" t="s">
        <v>34</v>
      </c>
      <c r="O10" s="14"/>
      <c r="P10" s="19">
        <v>1</v>
      </c>
      <c r="Q10" s="14" t="s">
        <v>74</v>
      </c>
      <c r="R10" s="14"/>
      <c r="S10" s="14"/>
      <c r="T10" s="14"/>
      <c r="U10" s="14"/>
      <c r="V10" s="14"/>
      <c r="W10" s="15"/>
      <c r="X10" s="14">
        <v>0.9</v>
      </c>
      <c r="Y10" s="14" t="s">
        <v>34</v>
      </c>
      <c r="Z10" s="14"/>
      <c r="AA10" s="19">
        <v>1</v>
      </c>
      <c r="AB10" s="14" t="s">
        <v>74</v>
      </c>
      <c r="AC10" s="14"/>
      <c r="AD10" s="14"/>
      <c r="AE10" s="14"/>
      <c r="AF10" s="14"/>
      <c r="AG10" s="14"/>
      <c r="AH10" s="15"/>
      <c r="AI10" s="2" t="s">
        <v>82</v>
      </c>
      <c r="AJ10" s="1"/>
    </row>
    <row r="11" spans="1:36" ht="20" customHeight="1" x14ac:dyDescent="0.7">
      <c r="A11" s="3" t="s">
        <v>72</v>
      </c>
      <c r="B11" s="9">
        <f>EARTHQUAKE!B30</f>
        <v>1.3833333333333333</v>
      </c>
      <c r="C11" s="14" t="s">
        <v>34</v>
      </c>
      <c r="D11" s="14"/>
      <c r="E11" s="9">
        <f>EARTHQUAKE!B28</f>
        <v>1.3</v>
      </c>
      <c r="F11" s="14" t="s">
        <v>76</v>
      </c>
      <c r="G11" s="14" t="s">
        <v>59</v>
      </c>
      <c r="H11" s="19">
        <v>1</v>
      </c>
      <c r="I11" s="14" t="s">
        <v>75</v>
      </c>
      <c r="J11" s="14"/>
      <c r="K11" s="14"/>
      <c r="L11" s="15"/>
      <c r="M11" s="26">
        <f>EARTHQUAKE!E30</f>
        <v>1.2833333333333332</v>
      </c>
      <c r="N11" s="14" t="s">
        <v>34</v>
      </c>
      <c r="O11" s="14"/>
      <c r="P11" s="9">
        <f>EARTHQUAKE!E28</f>
        <v>1.3</v>
      </c>
      <c r="Q11" s="14" t="s">
        <v>76</v>
      </c>
      <c r="R11" s="14" t="s">
        <v>59</v>
      </c>
      <c r="S11" s="19">
        <v>1</v>
      </c>
      <c r="T11" s="14" t="s">
        <v>75</v>
      </c>
      <c r="U11" s="14"/>
      <c r="V11" s="14"/>
      <c r="W11" s="15"/>
      <c r="X11" s="9">
        <f>EARTHQUAKE!H30</f>
        <v>1.2333333333333334</v>
      </c>
      <c r="Y11" s="14" t="s">
        <v>34</v>
      </c>
      <c r="Z11" s="14"/>
      <c r="AA11" s="9">
        <f>EARTHQUAKE!H28</f>
        <v>1</v>
      </c>
      <c r="AB11" s="14" t="s">
        <v>76</v>
      </c>
      <c r="AC11" s="14" t="s">
        <v>59</v>
      </c>
      <c r="AD11" s="19">
        <v>1</v>
      </c>
      <c r="AE11" s="14" t="s">
        <v>75</v>
      </c>
      <c r="AF11" s="14"/>
      <c r="AG11" s="14"/>
      <c r="AH11" s="15"/>
      <c r="AI11" s="2" t="s">
        <v>81</v>
      </c>
      <c r="AJ11" s="1" t="s">
        <v>84</v>
      </c>
    </row>
    <row r="12" spans="1:36" ht="20" customHeight="1" thickBot="1" x14ac:dyDescent="0.75">
      <c r="A12" s="4" t="s">
        <v>66</v>
      </c>
      <c r="B12" s="18">
        <f>EARTHQUAKE!B31</f>
        <v>0.71666666666666667</v>
      </c>
      <c r="C12" s="16" t="s">
        <v>34</v>
      </c>
      <c r="D12" s="16"/>
      <c r="E12" s="18">
        <f>EARTHQUAKE!B28</f>
        <v>1.3</v>
      </c>
      <c r="F12" s="16" t="s">
        <v>76</v>
      </c>
      <c r="G12" s="16"/>
      <c r="H12" s="16"/>
      <c r="I12" s="16"/>
      <c r="J12" s="16"/>
      <c r="K12" s="16"/>
      <c r="L12" s="17"/>
      <c r="M12" s="18">
        <f>EARTHQUAKE!E31</f>
        <v>0.81666666666666665</v>
      </c>
      <c r="N12" s="16" t="s">
        <v>34</v>
      </c>
      <c r="O12" s="16"/>
      <c r="P12" s="18">
        <f>EARTHQUAKE!E28</f>
        <v>1.3</v>
      </c>
      <c r="Q12" s="16" t="s">
        <v>76</v>
      </c>
      <c r="R12" s="16"/>
      <c r="S12" s="16"/>
      <c r="T12" s="16"/>
      <c r="U12" s="16"/>
      <c r="V12" s="16"/>
      <c r="W12" s="17"/>
      <c r="X12" s="18">
        <f>EARTHQUAKE!H31</f>
        <v>0.8666666666666667</v>
      </c>
      <c r="Y12" s="16" t="s">
        <v>34</v>
      </c>
      <c r="Z12" s="16"/>
      <c r="AA12" s="18">
        <f>EARTHQUAKE!H28</f>
        <v>1</v>
      </c>
      <c r="AB12" s="16" t="s">
        <v>76</v>
      </c>
      <c r="AC12" s="16"/>
      <c r="AD12" s="16"/>
      <c r="AE12" s="16"/>
      <c r="AF12" s="16"/>
      <c r="AG12" s="16"/>
      <c r="AH12" s="17"/>
      <c r="AI12" s="20" t="s">
        <v>83</v>
      </c>
      <c r="AJ12" s="5" t="s">
        <v>84</v>
      </c>
    </row>
    <row r="13" spans="1:36" ht="15" thickTop="1" x14ac:dyDescent="0.35"/>
  </sheetData>
  <mergeCells count="7">
    <mergeCell ref="B4:L4"/>
    <mergeCell ref="M4:W4"/>
    <mergeCell ref="A3:A4"/>
    <mergeCell ref="AI3:AI4"/>
    <mergeCell ref="AJ3:AJ4"/>
    <mergeCell ref="X4:AH4"/>
    <mergeCell ref="B3:A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6FF6-8E34-46BA-9107-19D974E2CF7A}">
  <dimension ref="A2:AD116"/>
  <sheetViews>
    <sheetView tabSelected="1" topLeftCell="A88" zoomScaleNormal="100" workbookViewId="0">
      <selection activeCell="B15" sqref="B15"/>
    </sheetView>
  </sheetViews>
  <sheetFormatPr defaultRowHeight="14.5" x14ac:dyDescent="0.35"/>
  <cols>
    <col min="1" max="1" width="46.453125" bestFit="1" customWidth="1"/>
    <col min="2" max="5" width="12.453125" bestFit="1" customWidth="1"/>
    <col min="6" max="6" width="5.81640625" bestFit="1" customWidth="1"/>
    <col min="7" max="7" width="5.54296875" bestFit="1" customWidth="1"/>
    <col min="8" max="8" width="12.453125" bestFit="1" customWidth="1"/>
    <col min="9" max="9" width="5.81640625" bestFit="1" customWidth="1"/>
    <col min="10" max="10" width="5.54296875" bestFit="1" customWidth="1"/>
    <col min="11" max="11" width="12.453125" bestFit="1" customWidth="1"/>
    <col min="12" max="12" width="5.81640625" bestFit="1" customWidth="1"/>
    <col min="13" max="13" width="5.54296875" bestFit="1" customWidth="1"/>
    <col min="14" max="14" width="12.453125" bestFit="1" customWidth="1"/>
    <col min="15" max="15" width="5.81640625" bestFit="1" customWidth="1"/>
    <col min="16" max="16" width="5.54296875" bestFit="1" customWidth="1"/>
    <col min="17" max="17" width="12.453125" bestFit="1" customWidth="1"/>
    <col min="18" max="18" width="5.81640625" bestFit="1" customWidth="1"/>
    <col min="19" max="19" width="5.54296875" bestFit="1" customWidth="1"/>
    <col min="20" max="20" width="12.453125" bestFit="1" customWidth="1"/>
    <col min="21" max="21" width="5.81640625" bestFit="1" customWidth="1"/>
    <col min="22" max="22" width="5.54296875" bestFit="1" customWidth="1"/>
    <col min="23" max="23" width="11.81640625" bestFit="1" customWidth="1"/>
    <col min="24" max="24" width="5.81640625" bestFit="1" customWidth="1"/>
    <col min="25" max="25" width="5.54296875" bestFit="1" customWidth="1"/>
    <col min="26" max="26" width="12.453125" bestFit="1" customWidth="1"/>
    <col min="27" max="28" width="5.6328125" customWidth="1"/>
    <col min="29" max="29" width="48.7265625" bestFit="1" customWidth="1"/>
    <col min="30" max="30" width="82" bestFit="1" customWidth="1"/>
  </cols>
  <sheetData>
    <row r="2" spans="1:30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25.5" thickTop="1" thickBot="1" x14ac:dyDescent="0.4">
      <c r="A3" s="160" t="s">
        <v>9</v>
      </c>
      <c r="B3" s="163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5"/>
      <c r="AC3" s="161" t="s">
        <v>42</v>
      </c>
      <c r="AD3" s="161" t="s">
        <v>55</v>
      </c>
    </row>
    <row r="4" spans="1:30" ht="25" thickBot="1" x14ac:dyDescent="0.4">
      <c r="A4" s="161"/>
      <c r="B4" s="166" t="s">
        <v>96</v>
      </c>
      <c r="C4" s="167"/>
      <c r="D4" s="167"/>
      <c r="E4" s="167"/>
      <c r="F4" s="167"/>
      <c r="G4" s="167"/>
      <c r="H4" s="167"/>
      <c r="I4" s="167"/>
      <c r="J4" s="168"/>
      <c r="K4" s="169" t="s">
        <v>53</v>
      </c>
      <c r="L4" s="167"/>
      <c r="M4" s="167"/>
      <c r="N4" s="167"/>
      <c r="O4" s="167"/>
      <c r="P4" s="167"/>
      <c r="Q4" s="167"/>
      <c r="R4" s="167"/>
      <c r="S4" s="168"/>
      <c r="T4" s="169" t="s">
        <v>3</v>
      </c>
      <c r="U4" s="167"/>
      <c r="V4" s="167"/>
      <c r="W4" s="167"/>
      <c r="X4" s="167"/>
      <c r="Y4" s="167"/>
      <c r="Z4" s="167"/>
      <c r="AA4" s="167"/>
      <c r="AB4" s="170"/>
      <c r="AC4" s="161"/>
      <c r="AD4" s="161"/>
    </row>
    <row r="5" spans="1:30" ht="24.5" x14ac:dyDescent="0.35">
      <c r="A5" s="161"/>
      <c r="B5" s="171" t="s">
        <v>130</v>
      </c>
      <c r="C5" s="155"/>
      <c r="D5" s="156"/>
      <c r="E5" s="157" t="s">
        <v>129</v>
      </c>
      <c r="F5" s="155"/>
      <c r="G5" s="156"/>
      <c r="H5" s="157" t="s">
        <v>128</v>
      </c>
      <c r="I5" s="155"/>
      <c r="J5" s="158"/>
      <c r="K5" s="154" t="s">
        <v>130</v>
      </c>
      <c r="L5" s="155"/>
      <c r="M5" s="156"/>
      <c r="N5" s="157" t="s">
        <v>129</v>
      </c>
      <c r="O5" s="155"/>
      <c r="P5" s="156"/>
      <c r="Q5" s="157" t="s">
        <v>128</v>
      </c>
      <c r="R5" s="155"/>
      <c r="S5" s="158"/>
      <c r="T5" s="154" t="s">
        <v>130</v>
      </c>
      <c r="U5" s="155"/>
      <c r="V5" s="156"/>
      <c r="W5" s="157" t="s">
        <v>129</v>
      </c>
      <c r="X5" s="155"/>
      <c r="Y5" s="156"/>
      <c r="Z5" s="157" t="s">
        <v>128</v>
      </c>
      <c r="AA5" s="155"/>
      <c r="AB5" s="159"/>
      <c r="AC5" s="161"/>
      <c r="AD5" s="161"/>
    </row>
    <row r="6" spans="1:30" ht="20" customHeight="1" thickBot="1" x14ac:dyDescent="0.4">
      <c r="A6" s="162"/>
      <c r="B6" s="75" t="s">
        <v>132</v>
      </c>
      <c r="C6" s="40" t="s">
        <v>133</v>
      </c>
      <c r="D6" s="76" t="s">
        <v>131</v>
      </c>
      <c r="E6" s="41" t="s">
        <v>132</v>
      </c>
      <c r="F6" s="40" t="s">
        <v>133</v>
      </c>
      <c r="G6" s="42" t="s">
        <v>131</v>
      </c>
      <c r="H6" s="41" t="s">
        <v>132</v>
      </c>
      <c r="I6" s="40" t="s">
        <v>133</v>
      </c>
      <c r="J6" s="45" t="s">
        <v>131</v>
      </c>
      <c r="K6" s="44" t="s">
        <v>132</v>
      </c>
      <c r="L6" s="40" t="s">
        <v>133</v>
      </c>
      <c r="M6" s="39" t="s">
        <v>131</v>
      </c>
      <c r="N6" s="41" t="s">
        <v>132</v>
      </c>
      <c r="O6" s="40" t="s">
        <v>133</v>
      </c>
      <c r="P6" s="39" t="s">
        <v>131</v>
      </c>
      <c r="Q6" s="41" t="s">
        <v>132</v>
      </c>
      <c r="R6" s="40" t="s">
        <v>133</v>
      </c>
      <c r="S6" s="45" t="s">
        <v>131</v>
      </c>
      <c r="T6" s="44" t="s">
        <v>132</v>
      </c>
      <c r="U6" s="40" t="s">
        <v>133</v>
      </c>
      <c r="V6" s="39" t="s">
        <v>131</v>
      </c>
      <c r="W6" s="41" t="s">
        <v>132</v>
      </c>
      <c r="X6" s="40" t="s">
        <v>133</v>
      </c>
      <c r="Y6" s="39" t="s">
        <v>131</v>
      </c>
      <c r="Z6" s="41" t="s">
        <v>132</v>
      </c>
      <c r="AA6" s="40" t="s">
        <v>133</v>
      </c>
      <c r="AB6" s="77" t="s">
        <v>131</v>
      </c>
      <c r="AC6" s="162"/>
      <c r="AD6" s="162"/>
    </row>
    <row r="7" spans="1:30" ht="20" customHeight="1" thickTop="1" x14ac:dyDescent="0.75">
      <c r="A7" s="56" t="s">
        <v>178</v>
      </c>
      <c r="B7" s="27"/>
      <c r="C7" s="27"/>
      <c r="D7" s="113"/>
      <c r="E7" s="114"/>
      <c r="F7" s="27"/>
      <c r="G7" s="37"/>
      <c r="H7" s="114"/>
      <c r="I7" s="27"/>
      <c r="J7" s="47"/>
      <c r="K7" s="114"/>
      <c r="L7" s="27"/>
      <c r="M7" s="37"/>
      <c r="N7" s="114"/>
      <c r="O7" s="27"/>
      <c r="P7" s="37"/>
      <c r="Q7" s="114"/>
      <c r="R7" s="27"/>
      <c r="S7" s="47"/>
      <c r="T7" s="114"/>
      <c r="U7" s="27"/>
      <c r="V7" s="37"/>
      <c r="W7" s="114"/>
      <c r="X7" s="27"/>
      <c r="Y7" s="37"/>
      <c r="Z7" s="114"/>
      <c r="AA7" s="27"/>
      <c r="AB7" s="47"/>
      <c r="AC7" s="2" t="s">
        <v>155</v>
      </c>
      <c r="AD7" s="1" t="s">
        <v>157</v>
      </c>
    </row>
    <row r="8" spans="1:30" ht="21" x14ac:dyDescent="0.7">
      <c r="A8" s="58" t="s">
        <v>166</v>
      </c>
      <c r="B8" s="29"/>
      <c r="C8" s="29"/>
      <c r="D8" s="115">
        <v>15</v>
      </c>
      <c r="E8" s="114">
        <v>30</v>
      </c>
      <c r="F8" s="27"/>
      <c r="G8" s="37"/>
      <c r="H8" s="114">
        <v>45</v>
      </c>
      <c r="I8" s="9"/>
      <c r="J8" s="46"/>
      <c r="K8" s="114">
        <v>45</v>
      </c>
      <c r="L8" s="9"/>
      <c r="M8" s="22"/>
      <c r="N8" s="114">
        <v>45</v>
      </c>
      <c r="O8" s="27"/>
      <c r="P8" s="37"/>
      <c r="Q8" s="114">
        <v>45</v>
      </c>
      <c r="R8" s="27"/>
      <c r="S8" s="47"/>
      <c r="T8" s="114">
        <v>45</v>
      </c>
      <c r="U8" s="27"/>
      <c r="V8" s="37"/>
      <c r="W8" s="114">
        <v>45</v>
      </c>
      <c r="X8" s="27"/>
      <c r="Y8" s="37"/>
      <c r="Z8" s="114">
        <v>45</v>
      </c>
      <c r="AA8" s="9"/>
      <c r="AB8" s="46"/>
      <c r="AC8" s="2"/>
      <c r="AD8" s="1"/>
    </row>
    <row r="9" spans="1:30" ht="21" x14ac:dyDescent="0.7">
      <c r="A9" s="58" t="s">
        <v>167</v>
      </c>
      <c r="B9" s="29"/>
      <c r="C9" s="29"/>
      <c r="D9" s="115">
        <v>24</v>
      </c>
      <c r="E9" s="114">
        <v>24</v>
      </c>
      <c r="F9" s="27"/>
      <c r="G9" s="37"/>
      <c r="H9" s="114">
        <v>24</v>
      </c>
      <c r="I9" s="9"/>
      <c r="J9" s="46"/>
      <c r="K9" s="114">
        <v>24</v>
      </c>
      <c r="L9" s="9"/>
      <c r="M9" s="22"/>
      <c r="N9" s="114">
        <v>24</v>
      </c>
      <c r="O9" s="27"/>
      <c r="P9" s="37"/>
      <c r="Q9" s="114">
        <v>24</v>
      </c>
      <c r="R9" s="27"/>
      <c r="S9" s="47"/>
      <c r="T9" s="114">
        <v>24</v>
      </c>
      <c r="U9" s="27"/>
      <c r="V9" s="37"/>
      <c r="W9" s="114">
        <v>24</v>
      </c>
      <c r="X9" s="27"/>
      <c r="Y9" s="37"/>
      <c r="Z9" s="114">
        <v>24</v>
      </c>
      <c r="AA9" s="9"/>
      <c r="AB9" s="46"/>
      <c r="AC9" s="2"/>
      <c r="AD9" s="1"/>
    </row>
    <row r="10" spans="1:30" ht="21" x14ac:dyDescent="0.7">
      <c r="A10" s="58" t="s">
        <v>171</v>
      </c>
      <c r="B10" s="29"/>
      <c r="C10" s="29"/>
      <c r="D10" s="115">
        <v>24</v>
      </c>
      <c r="E10" s="114">
        <v>24</v>
      </c>
      <c r="F10" s="27"/>
      <c r="G10" s="37"/>
      <c r="H10" s="114">
        <v>24</v>
      </c>
      <c r="I10" s="9"/>
      <c r="J10" s="46"/>
      <c r="K10" s="114">
        <v>24</v>
      </c>
      <c r="L10" s="9"/>
      <c r="M10" s="22"/>
      <c r="N10" s="114">
        <v>24</v>
      </c>
      <c r="O10" s="27"/>
      <c r="P10" s="37"/>
      <c r="Q10" s="114">
        <v>24</v>
      </c>
      <c r="R10" s="27"/>
      <c r="S10" s="47"/>
      <c r="T10" s="114">
        <v>24</v>
      </c>
      <c r="U10" s="27"/>
      <c r="V10" s="37"/>
      <c r="W10" s="114">
        <v>24</v>
      </c>
      <c r="X10" s="27"/>
      <c r="Y10" s="37"/>
      <c r="Z10" s="114">
        <v>24</v>
      </c>
      <c r="AA10" s="9"/>
      <c r="AB10" s="46"/>
      <c r="AC10" s="2"/>
      <c r="AD10" s="1"/>
    </row>
    <row r="11" spans="1:30" ht="21" x14ac:dyDescent="0.7">
      <c r="A11" s="58" t="s">
        <v>175</v>
      </c>
      <c r="B11" s="29"/>
      <c r="C11" s="29"/>
      <c r="D11" s="115">
        <v>6</v>
      </c>
      <c r="E11" s="114">
        <v>6</v>
      </c>
      <c r="F11" s="27"/>
      <c r="G11" s="37"/>
      <c r="H11" s="114">
        <v>6</v>
      </c>
      <c r="I11" s="9"/>
      <c r="J11" s="46"/>
      <c r="K11" s="114">
        <v>6</v>
      </c>
      <c r="L11" s="9"/>
      <c r="M11" s="22"/>
      <c r="N11" s="114">
        <v>6</v>
      </c>
      <c r="O11" s="27"/>
      <c r="P11" s="37"/>
      <c r="Q11" s="114">
        <v>6</v>
      </c>
      <c r="R11" s="27"/>
      <c r="S11" s="47"/>
      <c r="T11" s="114">
        <v>6</v>
      </c>
      <c r="U11" s="27"/>
      <c r="V11" s="37"/>
      <c r="W11" s="114">
        <v>6</v>
      </c>
      <c r="X11" s="27"/>
      <c r="Y11" s="37"/>
      <c r="Z11" s="114">
        <v>6</v>
      </c>
      <c r="AA11" s="9"/>
      <c r="AB11" s="46"/>
      <c r="AC11" s="2"/>
      <c r="AD11" s="1"/>
    </row>
    <row r="12" spans="1:30" ht="20" customHeight="1" x14ac:dyDescent="0.75">
      <c r="A12" s="56" t="s">
        <v>179</v>
      </c>
      <c r="B12" s="27"/>
      <c r="C12" s="27"/>
      <c r="D12" s="116"/>
      <c r="E12" s="114"/>
      <c r="F12" s="27"/>
      <c r="G12" s="37"/>
      <c r="H12" s="114"/>
      <c r="I12" s="27"/>
      <c r="J12" s="47"/>
      <c r="K12" s="114"/>
      <c r="L12" s="27"/>
      <c r="M12" s="37"/>
      <c r="N12" s="114"/>
      <c r="O12" s="27"/>
      <c r="P12" s="37"/>
      <c r="Q12" s="114"/>
      <c r="R12" s="27"/>
      <c r="S12" s="47"/>
      <c r="T12" s="114"/>
      <c r="U12" s="27"/>
      <c r="V12" s="37"/>
      <c r="W12" s="114"/>
      <c r="X12" s="27"/>
      <c r="Y12" s="37"/>
      <c r="Z12" s="114"/>
      <c r="AA12" s="27"/>
      <c r="AB12" s="47"/>
      <c r="AC12" s="2" t="s">
        <v>232</v>
      </c>
      <c r="AD12" s="1" t="s">
        <v>157</v>
      </c>
    </row>
    <row r="13" spans="1:30" ht="20" customHeight="1" x14ac:dyDescent="0.75">
      <c r="A13" s="57" t="s">
        <v>134</v>
      </c>
      <c r="B13" s="27"/>
      <c r="C13" s="27"/>
      <c r="D13" s="116">
        <v>10</v>
      </c>
      <c r="E13" s="114">
        <v>10</v>
      </c>
      <c r="F13" s="27"/>
      <c r="G13" s="37"/>
      <c r="H13" s="114">
        <v>10</v>
      </c>
      <c r="I13" s="27"/>
      <c r="J13" s="47"/>
      <c r="K13" s="114">
        <v>10</v>
      </c>
      <c r="L13" s="27"/>
      <c r="M13" s="37"/>
      <c r="N13" s="114">
        <v>10</v>
      </c>
      <c r="O13" s="27"/>
      <c r="P13" s="37"/>
      <c r="Q13" s="114">
        <v>10</v>
      </c>
      <c r="R13" s="27"/>
      <c r="S13" s="47"/>
      <c r="T13" s="114">
        <v>10</v>
      </c>
      <c r="U13" s="27"/>
      <c r="V13" s="37"/>
      <c r="W13" s="114">
        <v>10</v>
      </c>
      <c r="X13" s="27"/>
      <c r="Y13" s="37"/>
      <c r="Z13" s="114">
        <v>10</v>
      </c>
      <c r="AA13" s="27"/>
      <c r="AB13" s="47"/>
      <c r="AC13" s="2" t="s">
        <v>232</v>
      </c>
      <c r="AD13" s="1" t="s">
        <v>156</v>
      </c>
    </row>
    <row r="14" spans="1:30" ht="20" customHeight="1" x14ac:dyDescent="0.7">
      <c r="A14" s="58" t="s">
        <v>135</v>
      </c>
      <c r="B14" s="27"/>
      <c r="C14" s="27"/>
      <c r="D14" s="116">
        <v>0.45</v>
      </c>
      <c r="E14" s="114">
        <v>0.45</v>
      </c>
      <c r="F14" s="27"/>
      <c r="G14" s="37"/>
      <c r="H14" s="114">
        <v>0.45</v>
      </c>
      <c r="I14" s="27"/>
      <c r="J14" s="47"/>
      <c r="K14" s="114">
        <v>0.45</v>
      </c>
      <c r="L14" s="27"/>
      <c r="M14" s="37"/>
      <c r="N14" s="114">
        <v>0.45</v>
      </c>
      <c r="O14" s="27"/>
      <c r="P14" s="37"/>
      <c r="Q14" s="114">
        <v>0.45</v>
      </c>
      <c r="R14" s="27"/>
      <c r="S14" s="47"/>
      <c r="T14" s="114">
        <v>0.45</v>
      </c>
      <c r="U14" s="27"/>
      <c r="V14" s="37"/>
      <c r="W14" s="114">
        <v>0.45</v>
      </c>
      <c r="X14" s="27"/>
      <c r="Y14" s="37"/>
      <c r="Z14" s="114">
        <v>0.45</v>
      </c>
      <c r="AA14" s="27"/>
      <c r="AB14" s="47"/>
      <c r="AC14" s="2" t="s">
        <v>232</v>
      </c>
      <c r="AD14" s="1" t="s">
        <v>230</v>
      </c>
    </row>
    <row r="15" spans="1:30" ht="20" customHeight="1" x14ac:dyDescent="0.7">
      <c r="A15" s="56" t="s">
        <v>180</v>
      </c>
      <c r="B15" s="27"/>
      <c r="C15" s="27"/>
      <c r="D15" s="116"/>
      <c r="E15" s="114"/>
      <c r="F15" s="27"/>
      <c r="G15" s="37"/>
      <c r="H15" s="114"/>
      <c r="I15" s="27"/>
      <c r="J15" s="47"/>
      <c r="K15" s="114"/>
      <c r="L15" s="27"/>
      <c r="M15" s="37"/>
      <c r="N15" s="114"/>
      <c r="O15" s="27"/>
      <c r="P15" s="37"/>
      <c r="Q15" s="114"/>
      <c r="R15" s="27"/>
      <c r="S15" s="47"/>
      <c r="T15" s="114"/>
      <c r="U15" s="27"/>
      <c r="V15" s="37"/>
      <c r="W15" s="114"/>
      <c r="X15" s="27"/>
      <c r="Y15" s="37"/>
      <c r="Z15" s="114"/>
      <c r="AA15" s="27"/>
      <c r="AB15" s="47"/>
      <c r="AC15" s="2" t="s">
        <v>232</v>
      </c>
      <c r="AD15" s="1" t="s">
        <v>231</v>
      </c>
    </row>
    <row r="16" spans="1:30" ht="20" customHeight="1" x14ac:dyDescent="0.7">
      <c r="A16" s="58" t="s">
        <v>147</v>
      </c>
      <c r="B16" s="27"/>
      <c r="C16" s="27"/>
      <c r="D16" s="115">
        <v>50261.75</v>
      </c>
      <c r="E16" s="114">
        <v>98008.25</v>
      </c>
      <c r="F16" s="27"/>
      <c r="G16" s="37"/>
      <c r="H16" s="114">
        <v>150383.23749999999</v>
      </c>
      <c r="I16" s="27"/>
      <c r="J16" s="47"/>
      <c r="K16" s="114">
        <v>49688</v>
      </c>
      <c r="L16" s="27"/>
      <c r="M16" s="37"/>
      <c r="N16" s="114">
        <v>94422.290599999993</v>
      </c>
      <c r="O16" s="27"/>
      <c r="P16" s="37"/>
      <c r="Q16" s="114">
        <v>144512.29999999999</v>
      </c>
      <c r="R16" s="27"/>
      <c r="S16" s="47"/>
      <c r="T16" s="114">
        <v>48684.875</v>
      </c>
      <c r="U16" s="27"/>
      <c r="V16" s="37"/>
      <c r="W16" s="114">
        <v>92372.137499999997</v>
      </c>
      <c r="X16" s="27"/>
      <c r="Y16" s="37"/>
      <c r="Z16" s="114">
        <v>139495.70000000001</v>
      </c>
      <c r="AA16" s="27"/>
      <c r="AB16" s="47"/>
      <c r="AC16" s="2"/>
      <c r="AD16" s="1"/>
    </row>
    <row r="17" spans="1:30" ht="20" customHeight="1" x14ac:dyDescent="0.7">
      <c r="A17" s="57" t="s">
        <v>152</v>
      </c>
      <c r="B17" s="27"/>
      <c r="C17" s="27"/>
      <c r="D17" s="116">
        <v>25</v>
      </c>
      <c r="E17" s="114">
        <v>25</v>
      </c>
      <c r="F17" s="27"/>
      <c r="G17" s="37"/>
      <c r="H17" s="114">
        <v>25</v>
      </c>
      <c r="I17" s="27"/>
      <c r="J17" s="47"/>
      <c r="K17" s="114">
        <v>25</v>
      </c>
      <c r="L17" s="27"/>
      <c r="M17" s="37"/>
      <c r="N17" s="114">
        <v>25</v>
      </c>
      <c r="O17" s="27"/>
      <c r="P17" s="37"/>
      <c r="Q17" s="114">
        <v>25</v>
      </c>
      <c r="R17" s="27"/>
      <c r="S17" s="47"/>
      <c r="T17" s="114">
        <v>25</v>
      </c>
      <c r="U17" s="27"/>
      <c r="V17" s="37"/>
      <c r="W17" s="114">
        <v>25</v>
      </c>
      <c r="X17" s="27"/>
      <c r="Y17" s="37"/>
      <c r="Z17" s="114">
        <v>25</v>
      </c>
      <c r="AA17" s="27"/>
      <c r="AB17" s="47"/>
      <c r="AC17" s="2"/>
      <c r="AD17" s="1"/>
    </row>
    <row r="18" spans="1:30" ht="20" customHeight="1" x14ac:dyDescent="0.75">
      <c r="A18" s="58" t="s">
        <v>154</v>
      </c>
      <c r="B18" s="9"/>
      <c r="C18" s="9"/>
      <c r="D18" s="109">
        <f>(0.05*D16*1000)/D13</f>
        <v>251308.75</v>
      </c>
      <c r="E18" s="108">
        <f>(0.05*E16*1000)/E13</f>
        <v>490041.25</v>
      </c>
      <c r="F18" s="9"/>
      <c r="G18" s="22"/>
      <c r="H18" s="108">
        <f>(0.05*H16*1000)/H13</f>
        <v>751916.1875</v>
      </c>
      <c r="I18" s="9"/>
      <c r="J18" s="46"/>
      <c r="K18" s="108">
        <f>(0.055*K16*1000)/K13</f>
        <v>273284</v>
      </c>
      <c r="L18" s="9"/>
      <c r="M18" s="22"/>
      <c r="N18" s="108">
        <f>(0.055*N16*1000)/N13</f>
        <v>519322.5982999999</v>
      </c>
      <c r="O18" s="9"/>
      <c r="P18" s="22"/>
      <c r="Q18" s="108">
        <f>(0.055*Q16*1000)/Q13</f>
        <v>794817.65</v>
      </c>
      <c r="R18" s="9"/>
      <c r="S18" s="46"/>
      <c r="T18" s="108">
        <f>(0.055*T16*1000)/T13</f>
        <v>267766.8125</v>
      </c>
      <c r="U18" s="9"/>
      <c r="V18" s="22"/>
      <c r="W18" s="108">
        <f>(0.055*W16*1000)/W13</f>
        <v>508046.75624999998</v>
      </c>
      <c r="X18" s="9"/>
      <c r="Y18" s="22"/>
      <c r="Z18" s="108">
        <f>(0.055*Z16*1000)/Z13</f>
        <v>767226.35000000009</v>
      </c>
      <c r="AA18" s="9"/>
      <c r="AB18" s="46"/>
      <c r="AC18" s="2" t="s">
        <v>241</v>
      </c>
      <c r="AD18" s="1" t="s">
        <v>242</v>
      </c>
    </row>
    <row r="19" spans="1:30" ht="20" customHeight="1" x14ac:dyDescent="0.7">
      <c r="A19" s="58" t="s">
        <v>153</v>
      </c>
      <c r="B19" s="9"/>
      <c r="C19" s="9"/>
      <c r="D19" s="109">
        <f>D18/D17</f>
        <v>10052.35</v>
      </c>
      <c r="E19" s="108">
        <f>E18/E17</f>
        <v>19601.650000000001</v>
      </c>
      <c r="F19" s="9"/>
      <c r="G19" s="22"/>
      <c r="H19" s="108">
        <f t="shared" ref="H19:Z19" si="0">H18/H17</f>
        <v>30076.647499999999</v>
      </c>
      <c r="I19" s="9"/>
      <c r="J19" s="46"/>
      <c r="K19" s="108">
        <f t="shared" si="0"/>
        <v>10931.36</v>
      </c>
      <c r="L19" s="9"/>
      <c r="M19" s="22"/>
      <c r="N19" s="108">
        <f t="shared" si="0"/>
        <v>20772.903931999997</v>
      </c>
      <c r="O19" s="9"/>
      <c r="P19" s="22"/>
      <c r="Q19" s="108">
        <f t="shared" si="0"/>
        <v>31792.706000000002</v>
      </c>
      <c r="R19" s="9"/>
      <c r="S19" s="46"/>
      <c r="T19" s="108">
        <f t="shared" si="0"/>
        <v>10710.672500000001</v>
      </c>
      <c r="U19" s="9"/>
      <c r="V19" s="22"/>
      <c r="W19" s="108">
        <f t="shared" si="0"/>
        <v>20321.87025</v>
      </c>
      <c r="X19" s="9"/>
      <c r="Y19" s="22"/>
      <c r="Z19" s="108">
        <f t="shared" si="0"/>
        <v>30689.054000000004</v>
      </c>
      <c r="AA19" s="9"/>
      <c r="AB19" s="46"/>
      <c r="AC19" s="2"/>
      <c r="AD19" s="1"/>
    </row>
    <row r="20" spans="1:30" ht="20" customHeight="1" x14ac:dyDescent="0.7">
      <c r="A20" s="58" t="s">
        <v>136</v>
      </c>
      <c r="B20" s="9"/>
      <c r="C20" s="9"/>
      <c r="D20" s="109">
        <f>ROUND(SQRT((4*D19)/PI()),1)</f>
        <v>113.1</v>
      </c>
      <c r="E20" s="108">
        <f>ROUND(SQRT((4*E19)/PI()),1)</f>
        <v>158</v>
      </c>
      <c r="F20" s="9"/>
      <c r="G20" s="22"/>
      <c r="H20" s="108">
        <f t="shared" ref="H20:Z20" si="1">ROUND(SQRT((4*H19)/PI()),1)</f>
        <v>195.7</v>
      </c>
      <c r="I20" s="9"/>
      <c r="J20" s="46"/>
      <c r="K20" s="108">
        <f t="shared" si="1"/>
        <v>118</v>
      </c>
      <c r="L20" s="9"/>
      <c r="M20" s="22"/>
      <c r="N20" s="108">
        <f t="shared" si="1"/>
        <v>162.6</v>
      </c>
      <c r="O20" s="9"/>
      <c r="P20" s="22"/>
      <c r="Q20" s="108">
        <f t="shared" si="1"/>
        <v>201.2</v>
      </c>
      <c r="R20" s="9"/>
      <c r="S20" s="46"/>
      <c r="T20" s="108">
        <f t="shared" si="1"/>
        <v>116.8</v>
      </c>
      <c r="U20" s="9"/>
      <c r="V20" s="22"/>
      <c r="W20" s="108">
        <f t="shared" si="1"/>
        <v>160.9</v>
      </c>
      <c r="X20" s="9"/>
      <c r="Y20" s="22"/>
      <c r="Z20" s="108">
        <f t="shared" si="1"/>
        <v>197.7</v>
      </c>
      <c r="AA20" s="9"/>
      <c r="AB20" s="46"/>
      <c r="AC20" s="2"/>
      <c r="AD20" s="1"/>
    </row>
    <row r="21" spans="1:30" ht="20" customHeight="1" x14ac:dyDescent="0.7">
      <c r="A21" s="58" t="s">
        <v>140</v>
      </c>
      <c r="B21" s="9"/>
      <c r="C21" s="9"/>
      <c r="D21" s="109">
        <f>4.4*D20</f>
        <v>497.64000000000004</v>
      </c>
      <c r="E21" s="108">
        <f>4.5*E20</f>
        <v>711</v>
      </c>
      <c r="F21" s="9"/>
      <c r="G21" s="22"/>
      <c r="H21" s="108">
        <f>4.5*H20</f>
        <v>880.65</v>
      </c>
      <c r="I21" s="9"/>
      <c r="J21" s="46"/>
      <c r="K21" s="108">
        <f>4.4*K20</f>
        <v>519.20000000000005</v>
      </c>
      <c r="L21" s="9"/>
      <c r="M21" s="22"/>
      <c r="N21" s="108">
        <f t="shared" ref="N21:Z21" si="2">5*N20</f>
        <v>813</v>
      </c>
      <c r="O21" s="9"/>
      <c r="P21" s="22"/>
      <c r="Q21" s="108">
        <f t="shared" si="2"/>
        <v>1006</v>
      </c>
      <c r="R21" s="9"/>
      <c r="S21" s="46"/>
      <c r="T21" s="108">
        <f t="shared" si="2"/>
        <v>584</v>
      </c>
      <c r="U21" s="9"/>
      <c r="V21" s="22"/>
      <c r="W21" s="108">
        <f t="shared" si="2"/>
        <v>804.5</v>
      </c>
      <c r="X21" s="9"/>
      <c r="Y21" s="22"/>
      <c r="Z21" s="108">
        <f t="shared" si="2"/>
        <v>988.5</v>
      </c>
      <c r="AA21" s="9"/>
      <c r="AB21" s="46"/>
      <c r="AC21" s="2"/>
      <c r="AD21" s="1"/>
    </row>
    <row r="22" spans="1:30" ht="20" customHeight="1" x14ac:dyDescent="0.7">
      <c r="A22" s="58" t="s">
        <v>229</v>
      </c>
      <c r="B22" s="9"/>
      <c r="C22" s="9"/>
      <c r="D22" s="109">
        <f>D21-D20</f>
        <v>384.54000000000008</v>
      </c>
      <c r="E22" s="108">
        <f t="shared" ref="E22:Z22" si="3">E21-E20</f>
        <v>553</v>
      </c>
      <c r="F22" s="9">
        <f t="shared" si="3"/>
        <v>0</v>
      </c>
      <c r="G22" s="22">
        <f t="shared" si="3"/>
        <v>0</v>
      </c>
      <c r="H22" s="108">
        <f t="shared" si="3"/>
        <v>684.95</v>
      </c>
      <c r="I22" s="9">
        <f t="shared" si="3"/>
        <v>0</v>
      </c>
      <c r="J22" s="46">
        <f t="shared" si="3"/>
        <v>0</v>
      </c>
      <c r="K22" s="108">
        <f t="shared" si="3"/>
        <v>401.20000000000005</v>
      </c>
      <c r="L22" s="9">
        <f t="shared" si="3"/>
        <v>0</v>
      </c>
      <c r="M22" s="22">
        <f t="shared" si="3"/>
        <v>0</v>
      </c>
      <c r="N22" s="108">
        <f t="shared" si="3"/>
        <v>650.4</v>
      </c>
      <c r="O22" s="9">
        <f t="shared" si="3"/>
        <v>0</v>
      </c>
      <c r="P22" s="22">
        <f t="shared" si="3"/>
        <v>0</v>
      </c>
      <c r="Q22" s="108">
        <f t="shared" si="3"/>
        <v>804.8</v>
      </c>
      <c r="R22" s="9">
        <f t="shared" si="3"/>
        <v>0</v>
      </c>
      <c r="S22" s="46">
        <f t="shared" si="3"/>
        <v>0</v>
      </c>
      <c r="T22" s="108">
        <f t="shared" si="3"/>
        <v>467.2</v>
      </c>
      <c r="U22" s="9">
        <f t="shared" si="3"/>
        <v>0</v>
      </c>
      <c r="V22" s="22">
        <f t="shared" si="3"/>
        <v>0</v>
      </c>
      <c r="W22" s="108">
        <f t="shared" si="3"/>
        <v>643.6</v>
      </c>
      <c r="X22" s="9">
        <f t="shared" si="3"/>
        <v>0</v>
      </c>
      <c r="Y22" s="22">
        <f t="shared" si="3"/>
        <v>0</v>
      </c>
      <c r="Z22" s="108">
        <f t="shared" si="3"/>
        <v>790.8</v>
      </c>
      <c r="AA22" s="9"/>
      <c r="AB22" s="46"/>
      <c r="AC22" s="2"/>
      <c r="AD22" s="1"/>
    </row>
    <row r="23" spans="1:30" ht="20" customHeight="1" x14ac:dyDescent="0.7">
      <c r="A23" s="58" t="s">
        <v>228</v>
      </c>
      <c r="B23" s="9"/>
      <c r="C23" s="9"/>
      <c r="D23" s="109">
        <f>4*D22^2/PI()</f>
        <v>188275.21948911203</v>
      </c>
      <c r="E23" s="108">
        <f t="shared" ref="E23:Z23" si="4">4*E22^2/PI()</f>
        <v>389368.11193591537</v>
      </c>
      <c r="F23" s="9">
        <f t="shared" si="4"/>
        <v>0</v>
      </c>
      <c r="G23" s="22">
        <f t="shared" si="4"/>
        <v>0</v>
      </c>
      <c r="H23" s="108">
        <f t="shared" si="4"/>
        <v>597348.61165264132</v>
      </c>
      <c r="I23" s="9">
        <f t="shared" si="4"/>
        <v>0</v>
      </c>
      <c r="J23" s="46">
        <f t="shared" si="4"/>
        <v>0</v>
      </c>
      <c r="K23" s="108">
        <f t="shared" si="4"/>
        <v>204942.47058551625</v>
      </c>
      <c r="L23" s="9">
        <f t="shared" si="4"/>
        <v>0</v>
      </c>
      <c r="M23" s="22">
        <f t="shared" si="4"/>
        <v>0</v>
      </c>
      <c r="N23" s="108">
        <f t="shared" si="4"/>
        <v>538605.99593219568</v>
      </c>
      <c r="O23" s="9">
        <f t="shared" si="4"/>
        <v>0</v>
      </c>
      <c r="P23" s="22">
        <f t="shared" si="4"/>
        <v>0</v>
      </c>
      <c r="Q23" s="108">
        <f t="shared" si="4"/>
        <v>824681.12377318076</v>
      </c>
      <c r="R23" s="9">
        <f t="shared" si="4"/>
        <v>0</v>
      </c>
      <c r="S23" s="46">
        <f t="shared" si="4"/>
        <v>0</v>
      </c>
      <c r="T23" s="108">
        <f t="shared" si="4"/>
        <v>277917.43114828522</v>
      </c>
      <c r="U23" s="9">
        <f t="shared" si="4"/>
        <v>0</v>
      </c>
      <c r="V23" s="22">
        <f t="shared" si="4"/>
        <v>0</v>
      </c>
      <c r="W23" s="108">
        <f t="shared" si="4"/>
        <v>527402.50653016206</v>
      </c>
      <c r="X23" s="9">
        <f t="shared" si="4"/>
        <v>0</v>
      </c>
      <c r="Y23" s="22">
        <f t="shared" si="4"/>
        <v>0</v>
      </c>
      <c r="Z23" s="108">
        <f t="shared" si="4"/>
        <v>796238.9895270688</v>
      </c>
      <c r="AA23" s="9"/>
      <c r="AB23" s="46"/>
      <c r="AC23" s="2"/>
      <c r="AD23" s="1"/>
    </row>
    <row r="24" spans="1:30" ht="20" customHeight="1" x14ac:dyDescent="0.7">
      <c r="A24" s="58" t="s">
        <v>195</v>
      </c>
      <c r="B24" s="9"/>
      <c r="C24" s="9"/>
      <c r="D24" s="109">
        <f>D20</f>
        <v>113.1</v>
      </c>
      <c r="E24" s="108">
        <f>E20</f>
        <v>158</v>
      </c>
      <c r="F24" s="9"/>
      <c r="G24" s="22"/>
      <c r="H24" s="108">
        <f t="shared" ref="H24:Z24" si="5">H20</f>
        <v>195.7</v>
      </c>
      <c r="I24" s="9"/>
      <c r="J24" s="46"/>
      <c r="K24" s="108">
        <f t="shared" si="5"/>
        <v>118</v>
      </c>
      <c r="L24" s="9"/>
      <c r="M24" s="22"/>
      <c r="N24" s="108">
        <f t="shared" si="5"/>
        <v>162.6</v>
      </c>
      <c r="O24" s="9"/>
      <c r="P24" s="22"/>
      <c r="Q24" s="108">
        <f t="shared" si="5"/>
        <v>201.2</v>
      </c>
      <c r="R24" s="9"/>
      <c r="S24" s="46"/>
      <c r="T24" s="108">
        <f t="shared" si="5"/>
        <v>116.8</v>
      </c>
      <c r="U24" s="9"/>
      <c r="V24" s="22"/>
      <c r="W24" s="108">
        <f t="shared" si="5"/>
        <v>160.9</v>
      </c>
      <c r="X24" s="9"/>
      <c r="Y24" s="22"/>
      <c r="Z24" s="108">
        <f t="shared" si="5"/>
        <v>197.7</v>
      </c>
      <c r="AA24" s="9"/>
      <c r="AB24" s="46"/>
      <c r="AC24" s="2"/>
      <c r="AD24" s="1"/>
    </row>
    <row r="25" spans="1:30" ht="20" customHeight="1" x14ac:dyDescent="0.7">
      <c r="A25" s="58" t="s">
        <v>137</v>
      </c>
      <c r="B25" s="27"/>
      <c r="C25" s="27"/>
      <c r="D25" s="116">
        <v>25</v>
      </c>
      <c r="E25" s="114">
        <v>25</v>
      </c>
      <c r="F25" s="27"/>
      <c r="G25" s="37"/>
      <c r="H25" s="114">
        <v>25</v>
      </c>
      <c r="I25" s="27"/>
      <c r="J25" s="47"/>
      <c r="K25" s="114">
        <v>12</v>
      </c>
      <c r="L25" s="27"/>
      <c r="M25" s="37"/>
      <c r="N25" s="114">
        <v>12</v>
      </c>
      <c r="O25" s="27"/>
      <c r="P25" s="37"/>
      <c r="Q25" s="114">
        <v>12</v>
      </c>
      <c r="R25" s="27"/>
      <c r="S25" s="47"/>
      <c r="T25" s="114">
        <v>6</v>
      </c>
      <c r="U25" s="27"/>
      <c r="V25" s="37"/>
      <c r="W25" s="114">
        <v>6</v>
      </c>
      <c r="X25" s="27"/>
      <c r="Y25" s="37"/>
      <c r="Z25" s="114">
        <v>6</v>
      </c>
      <c r="AA25" s="27"/>
      <c r="AB25" s="47"/>
      <c r="AC25" s="2"/>
      <c r="AD25" s="1"/>
    </row>
    <row r="26" spans="1:30" ht="20" customHeight="1" x14ac:dyDescent="0.7">
      <c r="A26" s="56" t="s">
        <v>181</v>
      </c>
      <c r="B26" s="27"/>
      <c r="C26" s="27"/>
      <c r="D26" s="116"/>
      <c r="E26" s="114"/>
      <c r="F26" s="27"/>
      <c r="G26" s="37"/>
      <c r="H26" s="114"/>
      <c r="I26" s="27"/>
      <c r="J26" s="47"/>
      <c r="K26" s="114"/>
      <c r="L26" s="27"/>
      <c r="M26" s="37"/>
      <c r="N26" s="114"/>
      <c r="O26" s="27"/>
      <c r="P26" s="37"/>
      <c r="Q26" s="114"/>
      <c r="R26" s="27"/>
      <c r="S26" s="47"/>
      <c r="T26" s="114"/>
      <c r="U26" s="27"/>
      <c r="V26" s="37"/>
      <c r="W26" s="114"/>
      <c r="X26" s="27"/>
      <c r="Y26" s="37"/>
      <c r="Z26" s="114"/>
      <c r="AA26" s="27"/>
      <c r="AB26" s="47"/>
      <c r="AC26" s="2"/>
      <c r="AD26" s="1"/>
    </row>
    <row r="27" spans="1:30" ht="20" customHeight="1" x14ac:dyDescent="0.75">
      <c r="A27" s="57" t="s">
        <v>148</v>
      </c>
      <c r="B27" s="72"/>
      <c r="C27" s="72"/>
      <c r="D27" s="117">
        <v>1</v>
      </c>
      <c r="E27" s="118">
        <v>1</v>
      </c>
      <c r="F27" s="72"/>
      <c r="G27" s="73"/>
      <c r="H27" s="118">
        <v>1</v>
      </c>
      <c r="I27" s="72"/>
      <c r="J27" s="74"/>
      <c r="K27" s="118">
        <v>1</v>
      </c>
      <c r="L27" s="72"/>
      <c r="M27" s="73"/>
      <c r="N27" s="118">
        <v>1</v>
      </c>
      <c r="O27" s="72"/>
      <c r="P27" s="73"/>
      <c r="Q27" s="118">
        <v>1</v>
      </c>
      <c r="R27" s="72"/>
      <c r="S27" s="74"/>
      <c r="T27" s="118">
        <v>1</v>
      </c>
      <c r="U27" s="72"/>
      <c r="V27" s="73"/>
      <c r="W27" s="118">
        <v>1</v>
      </c>
      <c r="X27" s="72"/>
      <c r="Y27" s="73"/>
      <c r="Z27" s="118">
        <v>1</v>
      </c>
      <c r="AA27" s="72"/>
      <c r="AB27" s="74"/>
      <c r="AC27" s="2"/>
      <c r="AD27" s="1"/>
    </row>
    <row r="28" spans="1:30" ht="20" customHeight="1" x14ac:dyDescent="0.75">
      <c r="A28" s="57" t="s">
        <v>138</v>
      </c>
      <c r="B28" s="9"/>
      <c r="C28" s="9"/>
      <c r="D28" s="109">
        <f>((D14*D23)/(4*D24))*D17</f>
        <v>4681.9102989666462</v>
      </c>
      <c r="E28" s="108">
        <f t="shared" ref="E28:Z28" si="6">((E14*E23)/(4*E24))*E17</f>
        <v>6930.998827973177</v>
      </c>
      <c r="F28" s="9"/>
      <c r="G28" s="22"/>
      <c r="H28" s="108">
        <f t="shared" si="6"/>
        <v>8584.7877888250059</v>
      </c>
      <c r="I28" s="9"/>
      <c r="J28" s="46"/>
      <c r="K28" s="108">
        <f t="shared" si="6"/>
        <v>4884.7516823878341</v>
      </c>
      <c r="L28" s="9"/>
      <c r="M28" s="22"/>
      <c r="N28" s="108">
        <f t="shared" si="6"/>
        <v>9316.2937488271855</v>
      </c>
      <c r="O28" s="9"/>
      <c r="P28" s="22"/>
      <c r="Q28" s="108">
        <f t="shared" si="6"/>
        <v>11527.910838032161</v>
      </c>
      <c r="R28" s="9"/>
      <c r="S28" s="46"/>
      <c r="T28" s="108">
        <f t="shared" si="6"/>
        <v>6692.1470471280163</v>
      </c>
      <c r="U28" s="9"/>
      <c r="V28" s="22"/>
      <c r="W28" s="108">
        <f t="shared" si="6"/>
        <v>9218.8909236549462</v>
      </c>
      <c r="X28" s="9"/>
      <c r="Y28" s="22"/>
      <c r="Z28" s="108">
        <f t="shared" si="6"/>
        <v>11327.375609736375</v>
      </c>
      <c r="AA28" s="9"/>
      <c r="AB28" s="46"/>
      <c r="AC28" s="2" t="s">
        <v>235</v>
      </c>
      <c r="AD28" s="1" t="s">
        <v>236</v>
      </c>
    </row>
    <row r="29" spans="1:30" ht="22" x14ac:dyDescent="0.75">
      <c r="A29" s="58" t="s">
        <v>139</v>
      </c>
      <c r="B29" s="9"/>
      <c r="C29" s="9"/>
      <c r="D29" s="109">
        <f>D18*D13/1000</f>
        <v>2513.0875000000001</v>
      </c>
      <c r="E29" s="108">
        <f>(((PI()*E20^2*E13)/4)*E17)/1000</f>
        <v>4901.669937763475</v>
      </c>
      <c r="F29" s="9"/>
      <c r="G29" s="22"/>
      <c r="H29" s="108">
        <f t="shared" ref="H29:Z29" si="7">(((PI()*H20^2*H13)/4)*H17)/1000</f>
        <v>7519.8909267238832</v>
      </c>
      <c r="I29" s="9"/>
      <c r="J29" s="46"/>
      <c r="K29" s="108">
        <f t="shared" si="7"/>
        <v>2733.9710067865176</v>
      </c>
      <c r="L29" s="9"/>
      <c r="M29" s="22"/>
      <c r="N29" s="108">
        <f t="shared" si="7"/>
        <v>5191.23838662648</v>
      </c>
      <c r="O29" s="9"/>
      <c r="P29" s="22"/>
      <c r="Q29" s="108">
        <f t="shared" si="7"/>
        <v>7948.5121569209996</v>
      </c>
      <c r="R29" s="9"/>
      <c r="S29" s="46"/>
      <c r="T29" s="108">
        <f t="shared" si="7"/>
        <v>2678.6475601568013</v>
      </c>
      <c r="U29" s="9"/>
      <c r="V29" s="22"/>
      <c r="W29" s="108">
        <f t="shared" si="7"/>
        <v>5083.2559566363743</v>
      </c>
      <c r="X29" s="9"/>
      <c r="Y29" s="22"/>
      <c r="Z29" s="108">
        <f t="shared" si="7"/>
        <v>7674.3787454641606</v>
      </c>
      <c r="AA29" s="9"/>
      <c r="AB29" s="46"/>
      <c r="AC29" s="2" t="s">
        <v>233</v>
      </c>
      <c r="AD29" s="1" t="s">
        <v>234</v>
      </c>
    </row>
    <row r="30" spans="1:30" ht="21" x14ac:dyDescent="0.7">
      <c r="A30" s="71" t="s">
        <v>213</v>
      </c>
      <c r="B30" s="27"/>
      <c r="C30" s="27"/>
      <c r="D30" s="116"/>
      <c r="E30" s="114"/>
      <c r="F30" s="27"/>
      <c r="G30" s="37"/>
      <c r="H30" s="114"/>
      <c r="I30" s="27"/>
      <c r="J30" s="47"/>
      <c r="K30" s="114"/>
      <c r="L30" s="27"/>
      <c r="M30" s="37"/>
      <c r="N30" s="114"/>
      <c r="O30" s="27"/>
      <c r="P30" s="37"/>
      <c r="Q30" s="114"/>
      <c r="R30" s="27"/>
      <c r="S30" s="47"/>
      <c r="T30" s="114"/>
      <c r="U30" s="27"/>
      <c r="V30" s="37"/>
      <c r="W30" s="114"/>
      <c r="X30" s="27"/>
      <c r="Y30" s="37"/>
      <c r="Z30" s="114"/>
      <c r="AA30" s="27"/>
      <c r="AB30" s="47"/>
      <c r="AC30" s="2"/>
      <c r="AD30" s="1"/>
    </row>
    <row r="31" spans="1:30" ht="22" x14ac:dyDescent="0.7">
      <c r="A31" s="58" t="s">
        <v>226</v>
      </c>
      <c r="B31" s="27"/>
      <c r="C31" s="27"/>
      <c r="D31" s="116">
        <v>55</v>
      </c>
      <c r="E31" s="114">
        <v>60</v>
      </c>
      <c r="F31" s="27"/>
      <c r="G31" s="37"/>
      <c r="H31" s="114">
        <v>65</v>
      </c>
      <c r="I31" s="27"/>
      <c r="J31" s="47"/>
      <c r="K31" s="114">
        <v>15</v>
      </c>
      <c r="L31" s="27"/>
      <c r="M31" s="37"/>
      <c r="N31" s="114">
        <v>15</v>
      </c>
      <c r="O31" s="27"/>
      <c r="P31" s="37"/>
      <c r="Q31" s="114">
        <v>15</v>
      </c>
      <c r="R31" s="27"/>
      <c r="S31" s="47"/>
      <c r="T31" s="114">
        <v>6</v>
      </c>
      <c r="U31" s="27"/>
      <c r="V31" s="37"/>
      <c r="W31" s="114">
        <v>6</v>
      </c>
      <c r="X31" s="27"/>
      <c r="Y31" s="37"/>
      <c r="Z31" s="114">
        <v>6</v>
      </c>
      <c r="AA31" s="27"/>
      <c r="AB31" s="47"/>
      <c r="AC31" s="2"/>
      <c r="AD31" s="1"/>
    </row>
    <row r="32" spans="1:30" ht="22" x14ac:dyDescent="0.7">
      <c r="A32" s="58" t="s">
        <v>214</v>
      </c>
      <c r="B32" s="9"/>
      <c r="C32" s="9"/>
      <c r="D32" s="109">
        <f>D28+(D29*1000/D31)</f>
        <v>50374.410298966643</v>
      </c>
      <c r="E32" s="108">
        <f>E28+(E29*1000/E31)</f>
        <v>88625.497790697758</v>
      </c>
      <c r="F32" s="9"/>
      <c r="G32" s="22"/>
      <c r="H32" s="108">
        <f>H28+(H29*1000/H31)</f>
        <v>124275.4174307309</v>
      </c>
      <c r="I32" s="9"/>
      <c r="J32" s="46"/>
      <c r="K32" s="108">
        <f>K28+(K29*1000/K31)</f>
        <v>187149.4854681557</v>
      </c>
      <c r="L32" s="9"/>
      <c r="M32" s="22"/>
      <c r="N32" s="108">
        <f>N28+(N29*1000/N31)</f>
        <v>355398.85285725922</v>
      </c>
      <c r="O32" s="9"/>
      <c r="P32" s="22"/>
      <c r="Q32" s="108">
        <f>Q28+(Q29*1000/Q31)</f>
        <v>541428.7212994321</v>
      </c>
      <c r="R32" s="9"/>
      <c r="S32" s="46"/>
      <c r="T32" s="108">
        <f>T28+(T29*1000/T31)</f>
        <v>453133.40707326157</v>
      </c>
      <c r="U32" s="9"/>
      <c r="V32" s="22"/>
      <c r="W32" s="108">
        <f>W28+(W29*1000/W31)</f>
        <v>856428.21702971717</v>
      </c>
      <c r="X32" s="9"/>
      <c r="Y32" s="22"/>
      <c r="Z32" s="108">
        <f>Z28+(Z29*1000/Z31)</f>
        <v>1290390.4998537633</v>
      </c>
      <c r="AA32" s="9"/>
      <c r="AB32" s="46"/>
      <c r="AC32" s="2" t="s">
        <v>254</v>
      </c>
      <c r="AD32" s="1"/>
    </row>
    <row r="33" spans="1:30" ht="22" x14ac:dyDescent="0.7">
      <c r="A33" s="58" t="s">
        <v>215</v>
      </c>
      <c r="B33" s="9"/>
      <c r="C33" s="9"/>
      <c r="D33" s="109">
        <f>2*PI()*SQRT(D16/(D32*9.8))</f>
        <v>2.0048442798041872</v>
      </c>
      <c r="E33" s="108">
        <f>2*PI()*SQRT(E16/(E32*9.8))</f>
        <v>2.110662548321891</v>
      </c>
      <c r="F33" s="9"/>
      <c r="G33" s="22"/>
      <c r="H33" s="108">
        <f>2*PI()*SQRT(H16/(H32*9.8))</f>
        <v>2.2078721957404026</v>
      </c>
      <c r="I33" s="9"/>
      <c r="J33" s="46"/>
      <c r="K33" s="108">
        <f>2*PI()*SQRT(K16/(K32*9.8))</f>
        <v>1.0341850845620051</v>
      </c>
      <c r="L33" s="9"/>
      <c r="M33" s="22"/>
      <c r="N33" s="108">
        <f>2*PI()*SQRT(N16/(N32*9.8))</f>
        <v>1.0345371378125834</v>
      </c>
      <c r="O33" s="9"/>
      <c r="P33" s="22"/>
      <c r="Q33" s="108">
        <f>2*PI()*SQRT(Q16/(Q32*9.8))</f>
        <v>1.0369279765551587</v>
      </c>
      <c r="R33" s="9"/>
      <c r="S33" s="46"/>
      <c r="T33" s="108">
        <f>2*PI()*SQRT(T16/(T32*9.8))</f>
        <v>0.65788626478554035</v>
      </c>
      <c r="U33" s="9"/>
      <c r="V33" s="22"/>
      <c r="W33" s="108">
        <f>2*PI()*SQRT(W16/(W32*9.8))</f>
        <v>0.65916151514434307</v>
      </c>
      <c r="X33" s="9"/>
      <c r="Y33" s="22"/>
      <c r="Z33" s="108">
        <f>2*PI()*SQRT(Z16/(Z32*9.8))</f>
        <v>0.65991296720495696</v>
      </c>
      <c r="AA33" s="9"/>
      <c r="AB33" s="46"/>
      <c r="AC33" s="2" t="s">
        <v>255</v>
      </c>
      <c r="AD33" s="1"/>
    </row>
    <row r="34" spans="1:30" ht="21" x14ac:dyDescent="0.7">
      <c r="A34" s="58" t="s">
        <v>227</v>
      </c>
      <c r="B34" s="9"/>
      <c r="C34" s="9"/>
      <c r="D34" s="109">
        <f>4*D29*((D31/1000)-(D25/1000))</f>
        <v>301.57049999999998</v>
      </c>
      <c r="E34" s="108">
        <f>4*E29*((E31/1000)-(E25/1000))</f>
        <v>686.23379128688646</v>
      </c>
      <c r="F34" s="9"/>
      <c r="G34" s="22"/>
      <c r="H34" s="108">
        <f>4*H29*((H31/1000)-(H25/1000))</f>
        <v>1203.1825482758213</v>
      </c>
      <c r="I34" s="9"/>
      <c r="J34" s="46"/>
      <c r="K34" s="108">
        <f>4*K29*((K31/1000)-(K25/1000))</f>
        <v>32.807652081438199</v>
      </c>
      <c r="L34" s="9"/>
      <c r="M34" s="22"/>
      <c r="N34" s="108">
        <f>4*N29*((N31/1000)-(N25/1000))</f>
        <v>62.294860639517744</v>
      </c>
      <c r="O34" s="9"/>
      <c r="P34" s="22"/>
      <c r="Q34" s="108">
        <f>4*Q29*((Q31/1000)-(Q25/1000))</f>
        <v>95.382145883051976</v>
      </c>
      <c r="R34" s="9"/>
      <c r="S34" s="46"/>
      <c r="T34" s="108">
        <f>4*T29*((T31/1000)-(T25/1000))</f>
        <v>0</v>
      </c>
      <c r="U34" s="9"/>
      <c r="V34" s="22"/>
      <c r="W34" s="108">
        <f>4*W29*((W31/1000)-(W25/1000))</f>
        <v>0</v>
      </c>
      <c r="X34" s="9"/>
      <c r="Y34" s="22"/>
      <c r="Z34" s="108">
        <f>4*Z29*((Z31/1000)-(Z25/1000))</f>
        <v>0</v>
      </c>
      <c r="AA34" s="9"/>
      <c r="AB34" s="46"/>
      <c r="AC34" s="2" t="s">
        <v>253</v>
      </c>
      <c r="AD34" s="1"/>
    </row>
    <row r="35" spans="1:30" ht="22" x14ac:dyDescent="0.7">
      <c r="A35" s="58" t="s">
        <v>216</v>
      </c>
      <c r="B35" s="9"/>
      <c r="C35" s="9"/>
      <c r="D35" s="109">
        <f>D34/(2*PI()*D32*(D31/1000)^2)</f>
        <v>0.31497322234841585</v>
      </c>
      <c r="E35" s="108">
        <f>E34/(2*PI()*E32*(E31/1000)^2)</f>
        <v>0.34231903008423809</v>
      </c>
      <c r="F35" s="9"/>
      <c r="G35" s="22"/>
      <c r="H35" s="108">
        <f>H34/(2*PI()*H32*(H31/1000)^2)</f>
        <v>0.36470331576231785</v>
      </c>
      <c r="I35" s="9"/>
      <c r="J35" s="46"/>
      <c r="K35" s="108">
        <f>K34/(2*PI()*K32*(K31/1000)^2)</f>
        <v>0.12400069713584853</v>
      </c>
      <c r="L35" s="9"/>
      <c r="M35" s="22"/>
      <c r="N35" s="108">
        <f>N34/(2*PI()*N32*(N31/1000)^2)</f>
        <v>0.12398633154198135</v>
      </c>
      <c r="O35" s="9"/>
      <c r="P35" s="22"/>
      <c r="Q35" s="108">
        <f>Q34/(2*PI()*Q32*(Q31/1000)^2)</f>
        <v>0.12461301739726792</v>
      </c>
      <c r="R35" s="9"/>
      <c r="S35" s="46"/>
      <c r="T35" s="108">
        <f>T34/(2*PI()*T32*(T31/1000)^2)</f>
        <v>0</v>
      </c>
      <c r="U35" s="9"/>
      <c r="V35" s="22"/>
      <c r="W35" s="108">
        <f>W34/(2*PI()*W32*(W31/1000)^2)</f>
        <v>0</v>
      </c>
      <c r="X35" s="9"/>
      <c r="Y35" s="22"/>
      <c r="Z35" s="108">
        <f>Z34/(2*PI()*Z32*(Z31/1000)^2)</f>
        <v>0</v>
      </c>
      <c r="AA35" s="9"/>
      <c r="AB35" s="46"/>
      <c r="AC35" s="2" t="s">
        <v>256</v>
      </c>
      <c r="AD35" s="1"/>
    </row>
    <row r="36" spans="1:30" ht="21" x14ac:dyDescent="0.7">
      <c r="A36" s="56" t="s">
        <v>182</v>
      </c>
      <c r="B36" s="27"/>
      <c r="C36" s="27"/>
      <c r="D36" s="116"/>
      <c r="E36" s="114"/>
      <c r="F36" s="27"/>
      <c r="G36" s="37"/>
      <c r="H36" s="114"/>
      <c r="I36" s="27"/>
      <c r="J36" s="47"/>
      <c r="K36" s="114"/>
      <c r="L36" s="27"/>
      <c r="M36" s="37"/>
      <c r="N36" s="114"/>
      <c r="O36" s="27"/>
      <c r="P36" s="37"/>
      <c r="Q36" s="114"/>
      <c r="R36" s="27"/>
      <c r="S36" s="47"/>
      <c r="T36" s="114"/>
      <c r="U36" s="27"/>
      <c r="V36" s="37"/>
      <c r="W36" s="114"/>
      <c r="X36" s="27"/>
      <c r="Y36" s="37"/>
      <c r="Z36" s="114"/>
      <c r="AA36" s="27"/>
      <c r="AB36" s="47"/>
      <c r="AC36" s="2"/>
      <c r="AD36" s="1"/>
    </row>
    <row r="37" spans="1:30" ht="22" x14ac:dyDescent="0.7">
      <c r="A37" s="58" t="s">
        <v>165</v>
      </c>
      <c r="B37" s="9"/>
      <c r="C37" s="9"/>
      <c r="D37" s="109">
        <f>D32*(D31/1000)</f>
        <v>2770.5925664431652</v>
      </c>
      <c r="E37" s="108">
        <f>E32*(E31/1000)</f>
        <v>5317.5298674418655</v>
      </c>
      <c r="F37" s="9"/>
      <c r="G37" s="22"/>
      <c r="H37" s="108">
        <f>H32*(H31/1000)</f>
        <v>8077.9021329975085</v>
      </c>
      <c r="I37" s="9"/>
      <c r="J37" s="46"/>
      <c r="K37" s="108">
        <f>K32*(K31/1000)</f>
        <v>2807.2422820223355</v>
      </c>
      <c r="L37" s="9"/>
      <c r="M37" s="37"/>
      <c r="N37" s="108">
        <f>N32*(N31/1000)</f>
        <v>5330.9827928588884</v>
      </c>
      <c r="O37" s="9"/>
      <c r="P37" s="37"/>
      <c r="Q37" s="108">
        <f>Q32*(Q31/1000)</f>
        <v>8121.4308194914811</v>
      </c>
      <c r="R37" s="9"/>
      <c r="S37" s="47"/>
      <c r="T37" s="108">
        <f>T32*(T31/1000)</f>
        <v>2718.8004424395695</v>
      </c>
      <c r="U37" s="9"/>
      <c r="V37" s="37"/>
      <c r="W37" s="108">
        <f>W32*(W31/1000)</f>
        <v>5138.5693021783027</v>
      </c>
      <c r="X37" s="9"/>
      <c r="Y37" s="37"/>
      <c r="Z37" s="108">
        <f>Z32*(Z31/1000)</f>
        <v>7742.3429991225794</v>
      </c>
      <c r="AA37" s="9"/>
      <c r="AB37" s="46"/>
      <c r="AC37" s="2"/>
      <c r="AD37" s="1"/>
    </row>
    <row r="38" spans="1:30" ht="22" x14ac:dyDescent="0.7">
      <c r="A38" s="58" t="s">
        <v>168</v>
      </c>
      <c r="B38" s="9"/>
      <c r="C38" s="9"/>
      <c r="D38" s="109">
        <f>D37*2*D8/3</f>
        <v>27705.925664431652</v>
      </c>
      <c r="E38" s="108">
        <f>E37*2*E8/3</f>
        <v>106350.59734883731</v>
      </c>
      <c r="F38" s="9"/>
      <c r="G38" s="22"/>
      <c r="H38" s="108">
        <f>H37*2*H8/3</f>
        <v>242337.06398992523</v>
      </c>
      <c r="I38" s="27"/>
      <c r="J38" s="47"/>
      <c r="K38" s="108">
        <f>K37*2*K8/3</f>
        <v>84217.268460670064</v>
      </c>
      <c r="L38" s="9"/>
      <c r="M38" s="22"/>
      <c r="N38" s="108">
        <f>N37*2*N8/3</f>
        <v>159929.48378576664</v>
      </c>
      <c r="O38" s="9"/>
      <c r="P38" s="22"/>
      <c r="Q38" s="108">
        <f>Q37*2*Q8/3</f>
        <v>243642.92458474441</v>
      </c>
      <c r="R38" s="27"/>
      <c r="S38" s="47"/>
      <c r="T38" s="108">
        <f>T37*2*T8/3</f>
        <v>81564.013273187084</v>
      </c>
      <c r="U38" s="9"/>
      <c r="V38" s="22"/>
      <c r="W38" s="108">
        <f>W37*2*W8/3</f>
        <v>154157.0790653491</v>
      </c>
      <c r="X38" s="9"/>
      <c r="Y38" s="22"/>
      <c r="Z38" s="108">
        <f>Z37*2*Z8/3</f>
        <v>232270.28997367737</v>
      </c>
      <c r="AA38" s="27"/>
      <c r="AB38" s="47"/>
      <c r="AC38" s="2"/>
      <c r="AD38" s="1"/>
    </row>
    <row r="39" spans="1:30" ht="21" x14ac:dyDescent="0.7">
      <c r="A39" s="58" t="s">
        <v>176</v>
      </c>
      <c r="B39" s="29"/>
      <c r="C39" s="29"/>
      <c r="D39" s="115">
        <v>50261.75</v>
      </c>
      <c r="E39" s="114">
        <v>98008.25</v>
      </c>
      <c r="F39" s="27"/>
      <c r="G39" s="37"/>
      <c r="H39" s="114">
        <v>150383.23749999999</v>
      </c>
      <c r="I39" s="27"/>
      <c r="J39" s="47"/>
      <c r="K39" s="114">
        <v>49688</v>
      </c>
      <c r="L39" s="27"/>
      <c r="M39" s="37"/>
      <c r="N39" s="114">
        <v>94422.290599999993</v>
      </c>
      <c r="O39" s="27"/>
      <c r="P39" s="37"/>
      <c r="Q39" s="114">
        <v>144512.29999999999</v>
      </c>
      <c r="R39" s="27"/>
      <c r="S39" s="47"/>
      <c r="T39" s="114">
        <v>48684.875</v>
      </c>
      <c r="U39" s="27"/>
      <c r="V39" s="37"/>
      <c r="W39" s="114">
        <v>92372.137499999997</v>
      </c>
      <c r="X39" s="27"/>
      <c r="Y39" s="37"/>
      <c r="Z39" s="114">
        <v>139495.70000000001</v>
      </c>
      <c r="AA39" s="27"/>
      <c r="AB39" s="47"/>
      <c r="AC39" s="2"/>
      <c r="AD39" s="1"/>
    </row>
    <row r="40" spans="1:30" ht="21" x14ac:dyDescent="0.7">
      <c r="A40" s="58" t="s">
        <v>177</v>
      </c>
      <c r="B40" s="29"/>
      <c r="C40" s="29"/>
      <c r="D40" s="115">
        <v>12096</v>
      </c>
      <c r="E40" s="114">
        <v>26496</v>
      </c>
      <c r="F40" s="27"/>
      <c r="G40" s="37"/>
      <c r="H40" s="114">
        <v>40896</v>
      </c>
      <c r="I40" s="27"/>
      <c r="J40" s="47"/>
      <c r="K40" s="114">
        <v>11520</v>
      </c>
      <c r="L40" s="27"/>
      <c r="M40" s="37"/>
      <c r="N40" s="114">
        <v>26496</v>
      </c>
      <c r="O40" s="27"/>
      <c r="P40" s="37"/>
      <c r="Q40" s="114">
        <v>40896</v>
      </c>
      <c r="R40" s="27"/>
      <c r="S40" s="47"/>
      <c r="T40" s="114">
        <v>11520</v>
      </c>
      <c r="U40" s="27"/>
      <c r="V40" s="37"/>
      <c r="W40" s="114">
        <v>26496</v>
      </c>
      <c r="X40" s="27"/>
      <c r="Y40" s="37"/>
      <c r="Z40" s="114">
        <v>40896</v>
      </c>
      <c r="AA40" s="27"/>
      <c r="AB40" s="47"/>
      <c r="AC40" s="2"/>
      <c r="AD40" s="1"/>
    </row>
    <row r="41" spans="1:30" ht="21" x14ac:dyDescent="0.7">
      <c r="A41" s="58" t="s">
        <v>221</v>
      </c>
      <c r="B41" s="9"/>
      <c r="C41" s="9"/>
      <c r="D41" s="109">
        <f>(D39*'Load Combinations'!$B$11)+(D40*'Load Combinations'!$H$11)</f>
        <v>81624.754166666666</v>
      </c>
      <c r="E41" s="108">
        <f>(E39*'Load Combinations'!$B$11)+(E40*'Load Combinations'!$H$11)</f>
        <v>162074.07916666666</v>
      </c>
      <c r="F41" s="9"/>
      <c r="G41" s="22"/>
      <c r="H41" s="108">
        <f>(H39*'Load Combinations'!$B$11)+(H40*'Load Combinations'!$H$11)</f>
        <v>248926.1452083333</v>
      </c>
      <c r="I41" s="27"/>
      <c r="J41" s="47"/>
      <c r="K41" s="108">
        <f>(K39*'Load Combinations'!$B$11)+(K40*'Load Combinations'!$H$11)</f>
        <v>80255.066666666666</v>
      </c>
      <c r="L41" s="27"/>
      <c r="M41" s="37"/>
      <c r="N41" s="108">
        <f>(N39*'Load Combinations'!$B$11)+(N40*'Load Combinations'!$H$11)</f>
        <v>157113.50199666666</v>
      </c>
      <c r="O41" s="9"/>
      <c r="P41" s="22"/>
      <c r="Q41" s="108">
        <f>(Q39*'Load Combinations'!$B$11)+(Q40*'Load Combinations'!$H$11)</f>
        <v>240804.68166666664</v>
      </c>
      <c r="R41" s="9"/>
      <c r="S41" s="46"/>
      <c r="T41" s="108">
        <f>(T39*'Load Combinations'!$B$11)+(T40*'Load Combinations'!$H$11)</f>
        <v>78867.410416666666</v>
      </c>
      <c r="U41" s="9"/>
      <c r="V41" s="22"/>
      <c r="W41" s="108">
        <f>(W39*'Load Combinations'!$B$11)+(W40*'Load Combinations'!$H$11)</f>
        <v>154277.45687499997</v>
      </c>
      <c r="X41" s="9"/>
      <c r="Y41" s="22"/>
      <c r="Z41" s="108">
        <f>(Z39*'Load Combinations'!$B$11)+(Z40*'Load Combinations'!$H$11)</f>
        <v>233865.05166666667</v>
      </c>
      <c r="AA41" s="27"/>
      <c r="AB41" s="47"/>
      <c r="AC41" s="2"/>
      <c r="AD41" s="1"/>
    </row>
    <row r="42" spans="1:30" ht="25" x14ac:dyDescent="0.7">
      <c r="A42" s="58" t="s">
        <v>173</v>
      </c>
      <c r="B42" s="9"/>
      <c r="C42" s="9"/>
      <c r="D42" s="109">
        <f>D41/(D9*D10)</f>
        <v>141.70964265046297</v>
      </c>
      <c r="E42" s="108">
        <f>E41/(E9*E10)</f>
        <v>281.37860966435187</v>
      </c>
      <c r="F42" s="9"/>
      <c r="G42" s="22"/>
      <c r="H42" s="108">
        <f>H41/(H9*H10)</f>
        <v>432.16344654224531</v>
      </c>
      <c r="I42" s="27"/>
      <c r="J42" s="47"/>
      <c r="K42" s="108">
        <f>K41/(K9*K10)</f>
        <v>139.33171296296297</v>
      </c>
      <c r="L42" s="27"/>
      <c r="M42" s="37"/>
      <c r="N42" s="108">
        <f>N41/(N9*N10)</f>
        <v>272.76649652199075</v>
      </c>
      <c r="O42" s="9"/>
      <c r="P42" s="22"/>
      <c r="Q42" s="108">
        <f>Q41/(Q9*Q10)</f>
        <v>418.06368344907401</v>
      </c>
      <c r="R42" s="9"/>
      <c r="S42" s="46"/>
      <c r="T42" s="108">
        <f>T41/(T9*T10)</f>
        <v>136.9225875289352</v>
      </c>
      <c r="U42" s="9"/>
      <c r="V42" s="22"/>
      <c r="W42" s="108">
        <f>W41/(W9*W10)</f>
        <v>267.84280707465274</v>
      </c>
      <c r="X42" s="9"/>
      <c r="Y42" s="22"/>
      <c r="Z42" s="108">
        <f>Z41/(Z9*Z10)</f>
        <v>406.01571469907407</v>
      </c>
      <c r="AA42" s="27"/>
      <c r="AB42" s="47"/>
      <c r="AC42" s="2"/>
      <c r="AD42" s="1"/>
    </row>
    <row r="43" spans="1:30" ht="21" x14ac:dyDescent="0.7">
      <c r="A43" s="58" t="s">
        <v>185</v>
      </c>
      <c r="B43" s="27"/>
      <c r="C43" s="27"/>
      <c r="D43" s="116">
        <v>5</v>
      </c>
      <c r="E43" s="114">
        <v>5</v>
      </c>
      <c r="F43" s="27"/>
      <c r="G43" s="37"/>
      <c r="H43" s="114">
        <v>5</v>
      </c>
      <c r="I43" s="27"/>
      <c r="J43" s="47"/>
      <c r="K43" s="114">
        <v>5</v>
      </c>
      <c r="L43" s="27"/>
      <c r="M43" s="37"/>
      <c r="N43" s="114">
        <v>5</v>
      </c>
      <c r="O43" s="27"/>
      <c r="P43" s="37"/>
      <c r="Q43" s="114">
        <v>5</v>
      </c>
      <c r="R43" s="27"/>
      <c r="S43" s="47"/>
      <c r="T43" s="114">
        <v>5</v>
      </c>
      <c r="U43" s="27"/>
      <c r="V43" s="37"/>
      <c r="W43" s="114">
        <v>5</v>
      </c>
      <c r="X43" s="27"/>
      <c r="Y43" s="37"/>
      <c r="Z43" s="114">
        <v>5</v>
      </c>
      <c r="AA43" s="27"/>
      <c r="AB43" s="47"/>
      <c r="AC43" s="2"/>
      <c r="AD43" s="1"/>
    </row>
    <row r="44" spans="1:30" ht="21" x14ac:dyDescent="0.7">
      <c r="A44" s="58" t="s">
        <v>184</v>
      </c>
      <c r="B44" s="9"/>
      <c r="C44" s="9"/>
      <c r="D44" s="109">
        <f>((D42*D10*D11)+(D38/D9))/D43</f>
        <v>4312.1204222035976</v>
      </c>
      <c r="E44" s="108">
        <f>((E42*E10*E11)+(E38/E9))/E43</f>
        <v>8989.9589362403094</v>
      </c>
      <c r="F44" s="9"/>
      <c r="G44" s="22"/>
      <c r="H44" s="108">
        <f>((H42*H10*H11)+(H38/H9))/H43</f>
        <v>14465.782793666041</v>
      </c>
      <c r="I44" s="9"/>
      <c r="J44" s="46"/>
      <c r="K44" s="108">
        <f>((K42*K10*K11)+(K38/K9))/K43</f>
        <v>4714.5639038389172</v>
      </c>
      <c r="L44" s="9"/>
      <c r="M44" s="22"/>
      <c r="N44" s="108">
        <f>((N42*N10*N11)+(N38/N9))/N43</f>
        <v>9188.4207980480551</v>
      </c>
      <c r="O44" s="9"/>
      <c r="P44" s="22"/>
      <c r="Q44" s="108">
        <f>((Q42*Q10*Q11)+(Q38/Q9))/Q43</f>
        <v>14070.591788206202</v>
      </c>
      <c r="R44" s="27"/>
      <c r="S44" s="47"/>
      <c r="T44" s="114"/>
      <c r="U44" s="27"/>
      <c r="V44" s="37"/>
      <c r="W44" s="114"/>
      <c r="X44" s="27"/>
      <c r="Y44" s="37"/>
      <c r="Z44" s="114"/>
      <c r="AA44" s="27"/>
      <c r="AB44" s="47"/>
      <c r="AC44" s="2"/>
      <c r="AD44" s="1"/>
    </row>
    <row r="45" spans="1:30" ht="22" x14ac:dyDescent="0.7">
      <c r="A45" s="58" t="s">
        <v>141</v>
      </c>
      <c r="B45" s="32"/>
      <c r="C45" s="32"/>
      <c r="D45" s="119">
        <f t="shared" ref="D45:Q45" si="8">D44</f>
        <v>4312.1204222035976</v>
      </c>
      <c r="E45" s="120">
        <f t="shared" si="8"/>
        <v>8989.9589362403094</v>
      </c>
      <c r="F45" s="32"/>
      <c r="G45" s="22"/>
      <c r="H45" s="108">
        <f t="shared" si="8"/>
        <v>14465.782793666041</v>
      </c>
      <c r="I45" s="27"/>
      <c r="J45" s="47"/>
      <c r="K45" s="108">
        <f t="shared" si="8"/>
        <v>4714.5639038389172</v>
      </c>
      <c r="L45" s="9"/>
      <c r="M45" s="22"/>
      <c r="N45" s="108">
        <f t="shared" si="8"/>
        <v>9188.4207980480551</v>
      </c>
      <c r="O45" s="9"/>
      <c r="P45" s="22"/>
      <c r="Q45" s="108">
        <f t="shared" si="8"/>
        <v>14070.591788206202</v>
      </c>
      <c r="R45" s="27"/>
      <c r="S45" s="47"/>
      <c r="T45" s="114">
        <v>5267</v>
      </c>
      <c r="U45" s="27"/>
      <c r="V45" s="37"/>
      <c r="W45" s="114">
        <v>5267</v>
      </c>
      <c r="X45" s="27"/>
      <c r="Y45" s="37"/>
      <c r="Z45" s="114">
        <v>5267</v>
      </c>
      <c r="AA45" s="27"/>
      <c r="AB45" s="47"/>
      <c r="AC45" s="2"/>
      <c r="AD45" s="1"/>
    </row>
    <row r="46" spans="1:30" ht="22" x14ac:dyDescent="0.7">
      <c r="A46" s="58" t="s">
        <v>217</v>
      </c>
      <c r="B46" s="9"/>
      <c r="C46" s="9"/>
      <c r="D46" s="109">
        <f>1.2*D31</f>
        <v>66</v>
      </c>
      <c r="E46" s="108">
        <f>1.2*E31</f>
        <v>72</v>
      </c>
      <c r="F46" s="9"/>
      <c r="G46" s="22"/>
      <c r="H46" s="108">
        <f>1.2*H31</f>
        <v>78</v>
      </c>
      <c r="I46" s="9"/>
      <c r="J46" s="46"/>
      <c r="K46" s="108">
        <f>1.2*K31</f>
        <v>18</v>
      </c>
      <c r="L46" s="9"/>
      <c r="M46" s="22"/>
      <c r="N46" s="108">
        <f>1.2*N31</f>
        <v>18</v>
      </c>
      <c r="O46" s="9"/>
      <c r="P46" s="22"/>
      <c r="Q46" s="108">
        <f>1.2*Q31</f>
        <v>18</v>
      </c>
      <c r="R46" s="9"/>
      <c r="S46" s="46"/>
      <c r="T46" s="108">
        <f>1.2*T31</f>
        <v>7.1999999999999993</v>
      </c>
      <c r="U46" s="9"/>
      <c r="V46" s="22"/>
      <c r="W46" s="108">
        <f>1.2*W31</f>
        <v>7.1999999999999993</v>
      </c>
      <c r="X46" s="9"/>
      <c r="Y46" s="22"/>
      <c r="Z46" s="108">
        <f>1.2*Z31</f>
        <v>7.1999999999999993</v>
      </c>
      <c r="AA46" s="9"/>
      <c r="AB46" s="46"/>
      <c r="AC46" s="2"/>
      <c r="AD46" s="1"/>
    </row>
    <row r="47" spans="1:30" ht="21" x14ac:dyDescent="0.7">
      <c r="A47" s="58" t="s">
        <v>142</v>
      </c>
      <c r="B47" s="27"/>
      <c r="C47" s="27"/>
      <c r="D47" s="116">
        <v>1.1000000000000001</v>
      </c>
      <c r="E47" s="114">
        <v>1.1000000000000001</v>
      </c>
      <c r="F47" s="27"/>
      <c r="G47" s="37"/>
      <c r="H47" s="114">
        <v>1.1000000000000001</v>
      </c>
      <c r="I47" s="27"/>
      <c r="J47" s="47"/>
      <c r="K47" s="114">
        <v>1.1000000000000001</v>
      </c>
      <c r="L47" s="27"/>
      <c r="M47" s="37"/>
      <c r="N47" s="114">
        <v>1.1000000000000001</v>
      </c>
      <c r="O47" s="27"/>
      <c r="P47" s="37"/>
      <c r="Q47" s="114">
        <v>1.1000000000000001</v>
      </c>
      <c r="R47" s="27"/>
      <c r="S47" s="47"/>
      <c r="T47" s="114">
        <v>1.1000000000000001</v>
      </c>
      <c r="U47" s="27"/>
      <c r="V47" s="37"/>
      <c r="W47" s="114">
        <v>1.1000000000000001</v>
      </c>
      <c r="X47" s="27"/>
      <c r="Y47" s="37"/>
      <c r="Z47" s="114">
        <v>1.1000000000000001</v>
      </c>
      <c r="AA47" s="27"/>
      <c r="AB47" s="47"/>
      <c r="AC47" s="2"/>
      <c r="AD47" s="1"/>
    </row>
    <row r="48" spans="1:30" ht="21" x14ac:dyDescent="0.7">
      <c r="A48" s="58" t="s">
        <v>143</v>
      </c>
      <c r="B48" s="9"/>
      <c r="C48" s="9"/>
      <c r="D48" s="109">
        <f>2*ACOS(D46/D21)</f>
        <v>2.8755568287424698</v>
      </c>
      <c r="E48" s="108">
        <f>2*ACOS(E46/E21)</f>
        <v>2.9387132483624323</v>
      </c>
      <c r="F48" s="9"/>
      <c r="G48" s="22"/>
      <c r="H48" s="108">
        <f>2*ACOS(H46/H21)</f>
        <v>2.9642183408476677</v>
      </c>
      <c r="I48" s="9"/>
      <c r="J48" s="46"/>
      <c r="K48" s="108">
        <f>2*ACOS(K46/K21)</f>
        <v>3.0722413141741809</v>
      </c>
      <c r="L48" s="9"/>
      <c r="M48" s="22"/>
      <c r="N48" s="108">
        <f>2*ACOS(N46/N21)</f>
        <v>3.0973085923531598</v>
      </c>
      <c r="O48" s="9"/>
      <c r="P48" s="22"/>
      <c r="Q48" s="108">
        <f>2*ACOS(Q46/Q21)</f>
        <v>3.1058054556205374</v>
      </c>
      <c r="R48" s="9"/>
      <c r="S48" s="46"/>
      <c r="T48" s="108">
        <f>2*ACOS(T46/T21)</f>
        <v>3.1169344946491235</v>
      </c>
      <c r="U48" s="9"/>
      <c r="V48" s="22"/>
      <c r="W48" s="108">
        <f>2*ACOS(W46/W21)</f>
        <v>3.1236930982905458</v>
      </c>
      <c r="X48" s="9"/>
      <c r="Y48" s="22"/>
      <c r="Z48" s="108">
        <f>2*ACOS(Z46/Z21)</f>
        <v>3.1270249982223293</v>
      </c>
      <c r="AA48" s="9"/>
      <c r="AB48" s="46"/>
      <c r="AC48" s="2"/>
      <c r="AD48" s="1"/>
    </row>
    <row r="49" spans="1:30" ht="22" x14ac:dyDescent="0.7">
      <c r="A49" s="58" t="s">
        <v>150</v>
      </c>
      <c r="B49" s="9"/>
      <c r="C49" s="9"/>
      <c r="D49" s="109">
        <f>1-(D20/D21)</f>
        <v>0.77272727272727271</v>
      </c>
      <c r="E49" s="108">
        <f>1-(E20/E21)</f>
        <v>0.77777777777777779</v>
      </c>
      <c r="F49" s="9"/>
      <c r="G49" s="22"/>
      <c r="H49" s="108">
        <f>1-(H20/H21)</f>
        <v>0.77777777777777779</v>
      </c>
      <c r="I49" s="9"/>
      <c r="J49" s="46"/>
      <c r="K49" s="108">
        <f>1-(K20/K21)</f>
        <v>0.77272727272727271</v>
      </c>
      <c r="L49" s="9"/>
      <c r="M49" s="22"/>
      <c r="N49" s="108">
        <f>1-(N20/N21)</f>
        <v>0.8</v>
      </c>
      <c r="O49" s="9"/>
      <c r="P49" s="22"/>
      <c r="Q49" s="108">
        <f>1-(Q20/Q21)</f>
        <v>0.8</v>
      </c>
      <c r="R49" s="9"/>
      <c r="S49" s="46"/>
      <c r="T49" s="108">
        <f>1-(T20/T21)</f>
        <v>0.8</v>
      </c>
      <c r="U49" s="9"/>
      <c r="V49" s="22"/>
      <c r="W49" s="108">
        <f>1-(W20/W21)</f>
        <v>0.8</v>
      </c>
      <c r="X49" s="9"/>
      <c r="Y49" s="22"/>
      <c r="Z49" s="108">
        <f>1-(Z20/Z21)</f>
        <v>0.8</v>
      </c>
      <c r="AA49" s="9"/>
      <c r="AB49" s="46"/>
      <c r="AC49" s="2"/>
      <c r="AD49" s="1"/>
    </row>
    <row r="50" spans="1:30" ht="25" x14ac:dyDescent="0.7">
      <c r="A50" s="58" t="s">
        <v>151</v>
      </c>
      <c r="B50" s="9"/>
      <c r="C50" s="9"/>
      <c r="D50" s="109">
        <f>1-(D20^2/D21^2)</f>
        <v>0.94834710743801653</v>
      </c>
      <c r="E50" s="108">
        <f>1-(E20^2/E21^2)</f>
        <v>0.95061728395061729</v>
      </c>
      <c r="F50" s="9"/>
      <c r="G50" s="22"/>
      <c r="H50" s="108">
        <f>1-(H20^2/H21^2)</f>
        <v>0.95061728395061729</v>
      </c>
      <c r="I50" s="9"/>
      <c r="J50" s="46"/>
      <c r="K50" s="108">
        <f>1-(K20^2/K21^2)</f>
        <v>0.94834710743801653</v>
      </c>
      <c r="L50" s="9"/>
      <c r="M50" s="22"/>
      <c r="N50" s="108">
        <f>1-(N20^2/N21^2)</f>
        <v>0.96</v>
      </c>
      <c r="O50" s="9"/>
      <c r="P50" s="22"/>
      <c r="Q50" s="108">
        <f>1-(Q20^2/Q21^2)</f>
        <v>0.96</v>
      </c>
      <c r="R50" s="9"/>
      <c r="S50" s="46"/>
      <c r="T50" s="108">
        <f>1-(T20^2/T21^2)</f>
        <v>0.96</v>
      </c>
      <c r="U50" s="9"/>
      <c r="V50" s="22"/>
      <c r="W50" s="108">
        <f>1-(W20^2/W21^2)</f>
        <v>0.96</v>
      </c>
      <c r="X50" s="9"/>
      <c r="Y50" s="22"/>
      <c r="Z50" s="108">
        <f>1-(Z20^2/Z21^2)</f>
        <v>0.96</v>
      </c>
      <c r="AA50" s="9"/>
      <c r="AB50" s="46"/>
      <c r="AC50" s="2"/>
      <c r="AD50" s="1"/>
    </row>
    <row r="51" spans="1:30" ht="21" x14ac:dyDescent="0.7">
      <c r="A51" s="58" t="s">
        <v>149</v>
      </c>
      <c r="B51" s="9"/>
      <c r="C51" s="9"/>
      <c r="D51" s="109">
        <f>D48-SIN(D48)</f>
        <v>2.6126480344848804</v>
      </c>
      <c r="E51" s="108">
        <f>E48-SIN(E48)</f>
        <v>2.7372227362201107</v>
      </c>
      <c r="F51" s="9"/>
      <c r="G51" s="22"/>
      <c r="H51" s="108">
        <f t="shared" ref="H51:Z51" si="9">H48-SIN(H48)</f>
        <v>2.7877726474369591</v>
      </c>
      <c r="I51" s="9"/>
      <c r="J51" s="46"/>
      <c r="K51" s="108">
        <f t="shared" si="9"/>
        <v>3.0029455535206471</v>
      </c>
      <c r="L51" s="9"/>
      <c r="M51" s="22"/>
      <c r="N51" s="108">
        <f t="shared" si="9"/>
        <v>3.05303900378098</v>
      </c>
      <c r="O51" s="9"/>
      <c r="P51" s="22"/>
      <c r="Q51" s="108">
        <f t="shared" si="9"/>
        <v>3.0700258960799323</v>
      </c>
      <c r="R51" s="9"/>
      <c r="S51" s="46"/>
      <c r="T51" s="108">
        <f t="shared" si="9"/>
        <v>3.0922788344278578</v>
      </c>
      <c r="U51" s="9"/>
      <c r="V51" s="22"/>
      <c r="W51" s="108">
        <f t="shared" si="9"/>
        <v>3.1057944987945785</v>
      </c>
      <c r="X51" s="9"/>
      <c r="Y51" s="22"/>
      <c r="Z51" s="108">
        <f t="shared" si="9"/>
        <v>3.1124578580990718</v>
      </c>
      <c r="AA51" s="9"/>
      <c r="AB51" s="46"/>
      <c r="AC51" s="2"/>
      <c r="AD51" s="1"/>
    </row>
    <row r="52" spans="1:30" ht="25" x14ac:dyDescent="0.7">
      <c r="A52" s="58" t="s">
        <v>160</v>
      </c>
      <c r="B52" s="9"/>
      <c r="C52" s="9"/>
      <c r="D52" s="109">
        <f>1+(D20^2/D21^2)</f>
        <v>1.0516528925619835</v>
      </c>
      <c r="E52" s="108">
        <f>1+(E20^2/E21^2)</f>
        <v>1.0493827160493827</v>
      </c>
      <c r="F52" s="9"/>
      <c r="G52" s="22"/>
      <c r="H52" s="108">
        <f>1+(H20^2/H21^2)</f>
        <v>1.0493827160493827</v>
      </c>
      <c r="I52" s="9"/>
      <c r="J52" s="46"/>
      <c r="K52" s="108">
        <f>1+(K20^2/K21^2)</f>
        <v>1.0516528925619835</v>
      </c>
      <c r="L52" s="9"/>
      <c r="M52" s="22"/>
      <c r="N52" s="108">
        <f>1+(N20^2/N21^2)</f>
        <v>1.04</v>
      </c>
      <c r="O52" s="9"/>
      <c r="P52" s="22"/>
      <c r="Q52" s="108">
        <f>1+(Q20^2/Q21^2)</f>
        <v>1.04</v>
      </c>
      <c r="R52" s="9"/>
      <c r="S52" s="46"/>
      <c r="T52" s="108">
        <f>1+(T20^2/T21^2)</f>
        <v>1.04</v>
      </c>
      <c r="U52" s="9"/>
      <c r="V52" s="22"/>
      <c r="W52" s="108">
        <f>1+(W20^2/W21^2)</f>
        <v>1.04</v>
      </c>
      <c r="X52" s="9"/>
      <c r="Y52" s="22"/>
      <c r="Z52" s="108">
        <f>1+(Z20^2/Z21^2)</f>
        <v>1.04</v>
      </c>
      <c r="AA52" s="9"/>
      <c r="AB52" s="46"/>
      <c r="AC52" s="2"/>
      <c r="AD52" s="1"/>
    </row>
    <row r="53" spans="1:30" ht="25" customHeight="1" x14ac:dyDescent="0.7">
      <c r="A53" s="58" t="s">
        <v>144</v>
      </c>
      <c r="B53" s="27"/>
      <c r="C53" s="27"/>
      <c r="D53" s="116">
        <v>6</v>
      </c>
      <c r="E53" s="114">
        <v>8</v>
      </c>
      <c r="F53" s="9"/>
      <c r="G53" s="22"/>
      <c r="H53" s="114">
        <v>8</v>
      </c>
      <c r="I53" s="9"/>
      <c r="J53" s="46"/>
      <c r="K53" s="114">
        <v>6</v>
      </c>
      <c r="L53" s="27"/>
      <c r="M53" s="37"/>
      <c r="N53" s="114">
        <v>8</v>
      </c>
      <c r="O53" s="27"/>
      <c r="P53" s="37"/>
      <c r="Q53" s="114">
        <v>8</v>
      </c>
      <c r="R53" s="27"/>
      <c r="S53" s="47"/>
      <c r="T53" s="114">
        <v>6</v>
      </c>
      <c r="U53" s="27"/>
      <c r="V53" s="37"/>
      <c r="W53" s="114">
        <v>8</v>
      </c>
      <c r="X53" s="27"/>
      <c r="Y53" s="37"/>
      <c r="Z53" s="114">
        <v>8</v>
      </c>
      <c r="AA53" s="9"/>
      <c r="AB53" s="46"/>
      <c r="AC53" s="2"/>
      <c r="AD53" s="1"/>
    </row>
    <row r="54" spans="1:30" ht="25" customHeight="1" x14ac:dyDescent="0.7">
      <c r="A54" s="58" t="s">
        <v>145</v>
      </c>
      <c r="B54" s="9"/>
      <c r="C54" s="9"/>
      <c r="D54" s="109">
        <f>(D31/D24)*100</f>
        <v>48.629531388152081</v>
      </c>
      <c r="E54" s="108">
        <f>(E31/E24)*100</f>
        <v>37.974683544303801</v>
      </c>
      <c r="F54" s="9"/>
      <c r="G54" s="22"/>
      <c r="H54" s="108">
        <f>(H31/H24)*100</f>
        <v>33.214103219213079</v>
      </c>
      <c r="I54" s="9"/>
      <c r="J54" s="46"/>
      <c r="K54" s="108">
        <f>(K31/K24)*100</f>
        <v>12.711864406779661</v>
      </c>
      <c r="L54" s="9"/>
      <c r="M54" s="22"/>
      <c r="N54" s="108">
        <f>(N31/N24)*100</f>
        <v>9.2250922509225095</v>
      </c>
      <c r="O54" s="9"/>
      <c r="P54" s="22"/>
      <c r="Q54" s="108">
        <f>(Q31/Q24)*100</f>
        <v>7.4552683896620291</v>
      </c>
      <c r="R54" s="9"/>
      <c r="S54" s="46"/>
      <c r="T54" s="108">
        <f>(T31/T24)*100</f>
        <v>5.1369863013698636</v>
      </c>
      <c r="U54" s="9"/>
      <c r="V54" s="22"/>
      <c r="W54" s="108">
        <f>(W31/W24)*100</f>
        <v>3.7290242386575509</v>
      </c>
      <c r="X54" s="9"/>
      <c r="Y54" s="22"/>
      <c r="Z54" s="108">
        <f>(Z31/Z24)*100</f>
        <v>3.0349013657056148</v>
      </c>
      <c r="AA54" s="9"/>
      <c r="AB54" s="46"/>
      <c r="AC54" s="2" t="s">
        <v>238</v>
      </c>
      <c r="AD54" s="1"/>
    </row>
    <row r="55" spans="1:30" ht="21" x14ac:dyDescent="0.7">
      <c r="A55" s="56" t="s">
        <v>183</v>
      </c>
      <c r="B55" s="9"/>
      <c r="C55" s="9"/>
      <c r="D55" s="109"/>
      <c r="E55" s="108"/>
      <c r="F55" s="9"/>
      <c r="G55" s="22"/>
      <c r="H55" s="108"/>
      <c r="I55" s="9"/>
      <c r="J55" s="46"/>
      <c r="K55" s="108"/>
      <c r="L55" s="9"/>
      <c r="M55" s="22"/>
      <c r="N55" s="108"/>
      <c r="O55" s="9"/>
      <c r="P55" s="22"/>
      <c r="Q55" s="108"/>
      <c r="R55" s="9"/>
      <c r="S55" s="46"/>
      <c r="T55" s="108"/>
      <c r="U55" s="9"/>
      <c r="V55" s="22"/>
      <c r="W55" s="108"/>
      <c r="X55" s="9"/>
      <c r="Y55" s="22"/>
      <c r="Z55" s="108"/>
      <c r="AA55" s="9"/>
      <c r="AB55" s="46"/>
      <c r="AC55" s="2"/>
      <c r="AD55" s="1"/>
    </row>
    <row r="56" spans="1:30" ht="21" x14ac:dyDescent="0.7">
      <c r="A56" s="58" t="s">
        <v>146</v>
      </c>
      <c r="B56" s="9"/>
      <c r="C56" s="9"/>
      <c r="D56" s="109" t="str">
        <f>IF(D54&gt;250,"NOT","OK")</f>
        <v>OK</v>
      </c>
      <c r="E56" s="108" t="str">
        <f>IF(E54&gt;250,"NOT","OK")</f>
        <v>OK</v>
      </c>
      <c r="F56" s="9"/>
      <c r="G56" s="22"/>
      <c r="H56" s="108" t="str">
        <f>IF(H54&gt;250,"NOT","OK")</f>
        <v>OK</v>
      </c>
      <c r="I56" s="9"/>
      <c r="J56" s="46"/>
      <c r="K56" s="108" t="str">
        <f t="shared" ref="K56:Z56" si="10">IF(K54&gt;250,"NOT","OK")</f>
        <v>OK</v>
      </c>
      <c r="L56" s="9"/>
      <c r="M56" s="22"/>
      <c r="N56" s="108" t="str">
        <f t="shared" si="10"/>
        <v>OK</v>
      </c>
      <c r="O56" s="9"/>
      <c r="P56" s="22"/>
      <c r="Q56" s="108" t="str">
        <f t="shared" si="10"/>
        <v>OK</v>
      </c>
      <c r="R56" s="9"/>
      <c r="S56" s="46"/>
      <c r="T56" s="108" t="str">
        <f t="shared" si="10"/>
        <v>OK</v>
      </c>
      <c r="U56" s="9"/>
      <c r="V56" s="22"/>
      <c r="W56" s="108" t="str">
        <f t="shared" si="10"/>
        <v>OK</v>
      </c>
      <c r="X56" s="9"/>
      <c r="Y56" s="22"/>
      <c r="Z56" s="108" t="str">
        <f t="shared" si="10"/>
        <v>OK</v>
      </c>
      <c r="AA56" s="9"/>
      <c r="AB56" s="46"/>
      <c r="AC56" s="2"/>
      <c r="AD56" s="1"/>
    </row>
    <row r="57" spans="1:30" s="112" customFormat="1" ht="22" x14ac:dyDescent="0.7">
      <c r="A57" s="107" t="s">
        <v>161</v>
      </c>
      <c r="B57" s="108"/>
      <c r="C57" s="108"/>
      <c r="D57" s="109">
        <f>((0.218*D14*D21^4*D49*D50*D51)/(D53*D24*D52*PI()))/1000</f>
        <v>5137.6966241042228</v>
      </c>
      <c r="E57" s="108">
        <f>((0.218*E14*E21^4*E49*E50*E51)/(E53*E24*E52*PI()))/1000</f>
        <v>12175.531606633995</v>
      </c>
      <c r="F57" s="108"/>
      <c r="G57" s="109"/>
      <c r="H57" s="108">
        <f>((0.218*H14*H21^4*H49*H50*H51)/(H53*H24*H52*PI()))/1000</f>
        <v>23563.313557045061</v>
      </c>
      <c r="I57" s="108"/>
      <c r="J57" s="110"/>
      <c r="K57" s="108">
        <f>((0.218*K14*K21^4*K49*K50*K51)/(K53*K24*K52*PI()))/1000</f>
        <v>6706.4580753201326</v>
      </c>
      <c r="L57" s="108"/>
      <c r="M57" s="109"/>
      <c r="N57" s="108">
        <f>((0.218*N14*N21^4*N49*N50*N51)/(N53*N24*N52*PI()))/1000</f>
        <v>23644.54832143465</v>
      </c>
      <c r="O57" s="108"/>
      <c r="P57" s="109"/>
      <c r="Q57" s="108">
        <f>((0.218*Q14*Q21^4*Q49*Q50*Q51)/(Q53*Q24*Q52*PI()))/1000</f>
        <v>45046.703372231743</v>
      </c>
      <c r="R57" s="108"/>
      <c r="S57" s="110"/>
      <c r="T57" s="108">
        <f>((0.218*T14*T21^4*T49*T50*T51)/(T53*T24*T52*PI()))/1000</f>
        <v>11835.400497048555</v>
      </c>
      <c r="U57" s="108"/>
      <c r="V57" s="109"/>
      <c r="W57" s="108">
        <f>((0.218*W14*W21^4*W49*W50*W51)/(W53*W24*W52*PI()))/1000</f>
        <v>23306.544820737356</v>
      </c>
      <c r="X57" s="108"/>
      <c r="Y57" s="109"/>
      <c r="Z57" s="108">
        <f>((0.218*Z14*Z21^4*Z49*Z50*Z51)/(Z53*Z24*Z52*PI()))/1000</f>
        <v>43327.190996531674</v>
      </c>
      <c r="AA57" s="108"/>
      <c r="AB57" s="110"/>
      <c r="AC57" s="2" t="s">
        <v>240</v>
      </c>
      <c r="AD57" s="111"/>
    </row>
    <row r="58" spans="1:30" ht="21" x14ac:dyDescent="0.7">
      <c r="A58" s="58" t="s">
        <v>162</v>
      </c>
      <c r="B58" s="9"/>
      <c r="C58" s="9"/>
      <c r="D58" s="109" t="str">
        <f>IF(D57&gt;D45,"OK","NOT")</f>
        <v>OK</v>
      </c>
      <c r="E58" s="108" t="str">
        <f>IF(E57&gt;E45,"OK","NOT")</f>
        <v>OK</v>
      </c>
      <c r="F58" s="9"/>
      <c r="G58" s="22"/>
      <c r="H58" s="108" t="str">
        <f>IF(H57&gt;H45,"OK","NOT")</f>
        <v>OK</v>
      </c>
      <c r="I58" s="9"/>
      <c r="J58" s="46"/>
      <c r="K58" s="108" t="str">
        <f>IF(K57&gt;K45,"OK","NOT")</f>
        <v>OK</v>
      </c>
      <c r="L58" s="9"/>
      <c r="M58" s="22"/>
      <c r="N58" s="108" t="str">
        <f>IF(N57&gt;N45,"OK","NOT")</f>
        <v>OK</v>
      </c>
      <c r="O58" s="9"/>
      <c r="P58" s="22"/>
      <c r="Q58" s="108" t="str">
        <f>IF(Q57&gt;Q45,"OK","NOT")</f>
        <v>OK</v>
      </c>
      <c r="R58" s="9"/>
      <c r="S58" s="46"/>
      <c r="T58" s="108" t="str">
        <f>IF(T57&gt;T45,"OK","NOT")</f>
        <v>OK</v>
      </c>
      <c r="U58" s="9"/>
      <c r="V58" s="22"/>
      <c r="W58" s="108" t="str">
        <f>IF(W57&gt;W45,"OK","NOT")</f>
        <v>OK</v>
      </c>
      <c r="X58" s="9"/>
      <c r="Y58" s="22"/>
      <c r="Z58" s="108" t="str">
        <f>IF(Z57&gt;Z45,"OK","NOT")</f>
        <v>OK</v>
      </c>
      <c r="AA58" s="9"/>
      <c r="AB58" s="46"/>
      <c r="AC58" s="2"/>
      <c r="AD58" s="1"/>
    </row>
    <row r="59" spans="1:30" ht="22" x14ac:dyDescent="0.7">
      <c r="A59" s="58" t="s">
        <v>163</v>
      </c>
      <c r="B59" s="9"/>
      <c r="C59" s="9"/>
      <c r="D59" s="109">
        <f>(D29/D16)*100</f>
        <v>5</v>
      </c>
      <c r="E59" s="108">
        <f>(E29/E16)*100</f>
        <v>5.0012829917516894</v>
      </c>
      <c r="F59" s="9"/>
      <c r="G59" s="22"/>
      <c r="H59" s="108">
        <f>(H29/H16)*100</f>
        <v>5.000484795869542</v>
      </c>
      <c r="I59" s="9"/>
      <c r="J59" s="46"/>
      <c r="K59" s="108">
        <f>(K29/K16)*100</f>
        <v>5.5022762171681645</v>
      </c>
      <c r="L59" s="9"/>
      <c r="M59" s="22"/>
      <c r="N59" s="108">
        <f>(N29/N16)*100</f>
        <v>5.4978949924208678</v>
      </c>
      <c r="O59" s="9"/>
      <c r="P59" s="22"/>
      <c r="Q59" s="108">
        <f>(Q29/Q16)*100</f>
        <v>5.5002322687556697</v>
      </c>
      <c r="R59" s="9"/>
      <c r="S59" s="46"/>
      <c r="T59" s="108">
        <f>(T29/T16)*100</f>
        <v>5.5020117852963599</v>
      </c>
      <c r="U59" s="9"/>
      <c r="V59" s="22"/>
      <c r="W59" s="108">
        <f>(W29/W16)*100</f>
        <v>5.5030186528230702</v>
      </c>
      <c r="X59" s="9"/>
      <c r="Y59" s="22"/>
      <c r="Z59" s="108">
        <f>(Z29/Z16)*100</f>
        <v>5.5015163517328203</v>
      </c>
      <c r="AA59" s="9"/>
      <c r="AB59" s="46"/>
      <c r="AC59" s="2"/>
      <c r="AD59" s="1"/>
    </row>
    <row r="60" spans="1:30" ht="21" x14ac:dyDescent="0.7">
      <c r="A60" s="58" t="s">
        <v>164</v>
      </c>
      <c r="B60" s="9"/>
      <c r="C60" s="9"/>
      <c r="D60" s="109" t="str">
        <f>IF(D59&gt;=5,"OK","NOT")</f>
        <v>OK</v>
      </c>
      <c r="E60" s="108" t="str">
        <f>IF(E59&gt;=5,"OK","NOT")</f>
        <v>OK</v>
      </c>
      <c r="F60" s="9"/>
      <c r="G60" s="22"/>
      <c r="H60" s="108" t="str">
        <f t="shared" ref="H60:Z60" si="11">IF(H59&gt;5,"OK","NOT")</f>
        <v>OK</v>
      </c>
      <c r="I60" s="9"/>
      <c r="J60" s="46"/>
      <c r="K60" s="108" t="str">
        <f t="shared" si="11"/>
        <v>OK</v>
      </c>
      <c r="L60" s="9"/>
      <c r="M60" s="22"/>
      <c r="N60" s="108" t="str">
        <f t="shared" si="11"/>
        <v>OK</v>
      </c>
      <c r="O60" s="9"/>
      <c r="P60" s="22"/>
      <c r="Q60" s="108" t="str">
        <f t="shared" si="11"/>
        <v>OK</v>
      </c>
      <c r="R60" s="9"/>
      <c r="S60" s="46"/>
      <c r="T60" s="108" t="str">
        <f t="shared" si="11"/>
        <v>OK</v>
      </c>
      <c r="U60" s="9"/>
      <c r="V60" s="22"/>
      <c r="W60" s="108" t="str">
        <f t="shared" si="11"/>
        <v>OK</v>
      </c>
      <c r="X60" s="9"/>
      <c r="Y60" s="22"/>
      <c r="Z60" s="108" t="str">
        <f t="shared" si="11"/>
        <v>OK</v>
      </c>
      <c r="AA60" s="9"/>
      <c r="AB60" s="46"/>
      <c r="AC60" s="2"/>
      <c r="AD60" s="1"/>
    </row>
    <row r="61" spans="1:30" ht="21" x14ac:dyDescent="0.7">
      <c r="A61" s="58" t="s">
        <v>172</v>
      </c>
      <c r="B61" s="9"/>
      <c r="C61" s="9"/>
      <c r="D61" s="109">
        <f>D39*'Load Combinations'!$B$12</f>
        <v>36020.920833333337</v>
      </c>
      <c r="E61" s="108">
        <f>E39*'Load Combinations'!$B$12</f>
        <v>70239.245833333334</v>
      </c>
      <c r="F61" s="9"/>
      <c r="G61" s="22"/>
      <c r="H61" s="108">
        <f>H39*'Load Combinations'!$B$12</f>
        <v>107774.65354166666</v>
      </c>
      <c r="I61" s="9"/>
      <c r="J61" s="46"/>
      <c r="K61" s="108">
        <f>K39*'Load Combinations'!$B$12</f>
        <v>35609.733333333337</v>
      </c>
      <c r="L61" s="9"/>
      <c r="M61" s="22"/>
      <c r="N61" s="108">
        <f>N39*'Load Combinations'!$B$12</f>
        <v>67669.308263333325</v>
      </c>
      <c r="O61" s="9"/>
      <c r="P61" s="22"/>
      <c r="Q61" s="108">
        <f>Q39*'Load Combinations'!$B$12</f>
        <v>103567.14833333333</v>
      </c>
      <c r="R61" s="9"/>
      <c r="S61" s="46"/>
      <c r="T61" s="108">
        <f>T39*'Load Combinations'!$B$12</f>
        <v>34890.827083333337</v>
      </c>
      <c r="U61" s="9"/>
      <c r="V61" s="22"/>
      <c r="W61" s="108">
        <f>W39*'Load Combinations'!$B$12</f>
        <v>66200.031875000001</v>
      </c>
      <c r="X61" s="9"/>
      <c r="Y61" s="22"/>
      <c r="Z61" s="108">
        <f>Z39*'Load Combinations'!$B$12</f>
        <v>99971.918333333349</v>
      </c>
      <c r="AA61" s="9"/>
      <c r="AB61" s="46"/>
      <c r="AC61" s="2"/>
      <c r="AD61" s="1"/>
    </row>
    <row r="62" spans="1:30" ht="25" x14ac:dyDescent="0.7">
      <c r="A62" s="58" t="s">
        <v>173</v>
      </c>
      <c r="B62" s="9"/>
      <c r="C62" s="9"/>
      <c r="D62" s="109">
        <f>D61/(D9*D10)</f>
        <v>62.536320891203708</v>
      </c>
      <c r="E62" s="108">
        <f>E61/(E9*E10)</f>
        <v>121.94313512731482</v>
      </c>
      <c r="F62" s="9"/>
      <c r="G62" s="22"/>
      <c r="H62" s="108">
        <f>H61/(H9*H10)</f>
        <v>187.10877350983796</v>
      </c>
      <c r="I62" s="9"/>
      <c r="J62" s="46"/>
      <c r="K62" s="108">
        <f>K61/(K9*K10)</f>
        <v>61.822453703703708</v>
      </c>
      <c r="L62" s="9"/>
      <c r="M62" s="22"/>
      <c r="N62" s="108">
        <f>N61/(N9*N10)</f>
        <v>117.48143795717591</v>
      </c>
      <c r="O62" s="9"/>
      <c r="P62" s="22"/>
      <c r="Q62" s="108">
        <f>Q61/(Q9*Q10)</f>
        <v>179.80407696759258</v>
      </c>
      <c r="R62" s="9"/>
      <c r="S62" s="46"/>
      <c r="T62" s="108">
        <f>T61/(T9*T10)</f>
        <v>60.574352575231487</v>
      </c>
      <c r="U62" s="9"/>
      <c r="V62" s="22"/>
      <c r="W62" s="108">
        <f>W61/(W9*W10)</f>
        <v>114.93061089409723</v>
      </c>
      <c r="X62" s="9"/>
      <c r="Y62" s="22"/>
      <c r="Z62" s="108">
        <f>Z61/(Z9*Z10)</f>
        <v>173.56235821759262</v>
      </c>
      <c r="AA62" s="9"/>
      <c r="AB62" s="46"/>
      <c r="AC62" s="2"/>
      <c r="AD62" s="1"/>
    </row>
    <row r="63" spans="1:30" ht="21" x14ac:dyDescent="0.7">
      <c r="A63" s="58" t="s">
        <v>170</v>
      </c>
      <c r="B63" s="27"/>
      <c r="C63" s="27"/>
      <c r="D63" s="116">
        <v>5</v>
      </c>
      <c r="E63" s="114">
        <v>5</v>
      </c>
      <c r="F63" s="27"/>
      <c r="G63" s="37"/>
      <c r="H63" s="114">
        <v>5</v>
      </c>
      <c r="I63" s="27"/>
      <c r="J63" s="47"/>
      <c r="K63" s="114">
        <v>5</v>
      </c>
      <c r="L63" s="27"/>
      <c r="M63" s="37"/>
      <c r="N63" s="114">
        <v>5</v>
      </c>
      <c r="O63" s="27"/>
      <c r="P63" s="37"/>
      <c r="Q63" s="114">
        <v>5</v>
      </c>
      <c r="R63" s="27"/>
      <c r="S63" s="47"/>
      <c r="T63" s="114">
        <v>5</v>
      </c>
      <c r="U63" s="27"/>
      <c r="V63" s="37"/>
      <c r="W63" s="114">
        <v>5</v>
      </c>
      <c r="X63" s="27"/>
      <c r="Y63" s="37"/>
      <c r="Z63" s="114">
        <v>5</v>
      </c>
      <c r="AA63" s="27"/>
      <c r="AB63" s="47"/>
      <c r="AC63" s="2"/>
      <c r="AD63" s="1"/>
    </row>
    <row r="64" spans="1:30" ht="21" x14ac:dyDescent="0.7">
      <c r="A64" s="58" t="s">
        <v>186</v>
      </c>
      <c r="B64" s="9"/>
      <c r="C64" s="9"/>
      <c r="D64" s="109">
        <f>((0.5*D11*D9*D62)-(D38/D9))/D63</f>
        <v>669.64030696306963</v>
      </c>
      <c r="E64" s="108">
        <f>((0.5*E11*E9*E62)-(E38/E9))/E63</f>
        <v>869.72616792635586</v>
      </c>
      <c r="F64" s="9"/>
      <c r="G64" s="22"/>
      <c r="H64" s="108">
        <f>((0.5*H11*H9*H62)-(H38/H9))/H63</f>
        <v>674.89080529228954</v>
      </c>
      <c r="I64" s="9"/>
      <c r="J64" s="46"/>
      <c r="K64" s="108">
        <f>((0.5*K11*K9*K62)-(K38/K9))/K63</f>
        <v>188.4327628277496</v>
      </c>
      <c r="L64" s="9"/>
      <c r="M64" s="22"/>
      <c r="N64" s="108">
        <f>((0.5*N11*N9*N62)-(N38/N9))/N63</f>
        <v>358.98700836861116</v>
      </c>
      <c r="O64" s="9"/>
      <c r="P64" s="22"/>
      <c r="Q64" s="108">
        <f>((0.5*Q11*Q9*Q62)-(Q38/Q9))/Q63</f>
        <v>558.8210034604632</v>
      </c>
      <c r="R64" s="9"/>
      <c r="S64" s="46"/>
      <c r="T64" s="108">
        <f>((0.5*T11*T9*T62)-(T38/T9))/T63</f>
        <v>192.57056647344106</v>
      </c>
      <c r="U64" s="9"/>
      <c r="V64" s="22"/>
      <c r="W64" s="108">
        <f>((0.5*W11*W9*W62)-(W38/W9))/W63</f>
        <v>370.35847133042427</v>
      </c>
      <c r="X64" s="9"/>
      <c r="Y64" s="22"/>
      <c r="Z64" s="108">
        <f>((0.5*Z11*Z9*Z62)-(Z38/Z9))/Z63</f>
        <v>563.71220855268916</v>
      </c>
      <c r="AA64" s="9"/>
      <c r="AB64" s="46"/>
      <c r="AC64" s="2"/>
      <c r="AD64" s="1"/>
    </row>
    <row r="65" spans="1:30" ht="21" x14ac:dyDescent="0.7">
      <c r="A65" s="58" t="s">
        <v>174</v>
      </c>
      <c r="B65" s="9"/>
      <c r="C65" s="9"/>
      <c r="D65" s="109">
        <f>-(3*D23*D14)/1000</f>
        <v>-254.17154631030127</v>
      </c>
      <c r="E65" s="108">
        <f>-(3*E23*E14)/1000</f>
        <v>-525.64695111348578</v>
      </c>
      <c r="F65" s="9"/>
      <c r="G65" s="22"/>
      <c r="H65" s="108">
        <f>-(3*H23*H14)/1000</f>
        <v>-806.4206257310658</v>
      </c>
      <c r="I65" s="9"/>
      <c r="J65" s="46"/>
      <c r="K65" s="108">
        <f>-(3*K23*K14)/1000</f>
        <v>-276.67233529044699</v>
      </c>
      <c r="L65" s="9"/>
      <c r="M65" s="22"/>
      <c r="N65" s="108">
        <f>-(3*N23*N14)/1000</f>
        <v>-727.11809450846408</v>
      </c>
      <c r="O65" s="9"/>
      <c r="P65" s="22"/>
      <c r="Q65" s="108">
        <f>-(3*Q23*Q14)/1000</f>
        <v>-1113.319517093794</v>
      </c>
      <c r="R65" s="9"/>
      <c r="S65" s="46"/>
      <c r="T65" s="108">
        <f>-(3*T23*T14)/1000</f>
        <v>-375.18853205018502</v>
      </c>
      <c r="U65" s="9"/>
      <c r="V65" s="22"/>
      <c r="W65" s="108">
        <f>-(3*W23*W14)/1000</f>
        <v>-711.99338381571886</v>
      </c>
      <c r="X65" s="9"/>
      <c r="Y65" s="22"/>
      <c r="Z65" s="108">
        <f>-(3*Z23*Z14)/1000</f>
        <v>-1074.9226358615429</v>
      </c>
      <c r="AA65" s="9"/>
      <c r="AB65" s="46"/>
      <c r="AC65" s="2" t="s">
        <v>251</v>
      </c>
      <c r="AD65" s="1"/>
    </row>
    <row r="66" spans="1:30" ht="21" x14ac:dyDescent="0.7">
      <c r="A66" s="58" t="s">
        <v>169</v>
      </c>
      <c r="B66" s="9"/>
      <c r="C66" s="9"/>
      <c r="D66" s="109" t="str">
        <f t="shared" ref="D66:Z66" si="12">IF(D65&lt;D64,"OK","NOT")</f>
        <v>OK</v>
      </c>
      <c r="E66" s="108" t="str">
        <f t="shared" si="12"/>
        <v>OK</v>
      </c>
      <c r="F66" s="9"/>
      <c r="G66" s="22"/>
      <c r="H66" s="108" t="str">
        <f t="shared" si="12"/>
        <v>OK</v>
      </c>
      <c r="I66" s="9"/>
      <c r="J66" s="46"/>
      <c r="K66" s="108" t="str">
        <f t="shared" si="12"/>
        <v>OK</v>
      </c>
      <c r="L66" s="9"/>
      <c r="M66" s="22"/>
      <c r="N66" s="108" t="str">
        <f t="shared" si="12"/>
        <v>OK</v>
      </c>
      <c r="O66" s="9"/>
      <c r="P66" s="22"/>
      <c r="Q66" s="108" t="str">
        <f t="shared" si="12"/>
        <v>OK</v>
      </c>
      <c r="R66" s="9"/>
      <c r="S66" s="46"/>
      <c r="T66" s="108" t="str">
        <f t="shared" si="12"/>
        <v>OK</v>
      </c>
      <c r="U66" s="9"/>
      <c r="V66" s="22"/>
      <c r="W66" s="108" t="str">
        <f t="shared" si="12"/>
        <v>OK</v>
      </c>
      <c r="X66" s="9"/>
      <c r="Y66" s="22"/>
      <c r="Z66" s="108" t="str">
        <f t="shared" si="12"/>
        <v>OK</v>
      </c>
      <c r="AA66" s="9"/>
      <c r="AB66" s="46"/>
      <c r="AC66" s="2"/>
      <c r="AD66" s="1"/>
    </row>
    <row r="67" spans="1:30" ht="21" x14ac:dyDescent="0.7">
      <c r="A67" s="56" t="s">
        <v>218</v>
      </c>
      <c r="B67" s="9"/>
      <c r="C67" s="27"/>
      <c r="D67" s="116"/>
      <c r="E67" s="114"/>
      <c r="F67" s="27"/>
      <c r="G67" s="37"/>
      <c r="H67" s="123"/>
      <c r="I67" s="52"/>
      <c r="J67" s="53"/>
      <c r="K67" s="123"/>
      <c r="L67" s="52"/>
      <c r="M67" s="126"/>
      <c r="N67" s="123"/>
      <c r="O67" s="52"/>
      <c r="P67" s="126"/>
      <c r="Q67" s="123"/>
      <c r="R67" s="52"/>
      <c r="S67" s="53"/>
      <c r="T67" s="123"/>
      <c r="U67" s="52"/>
      <c r="V67" s="126"/>
      <c r="W67" s="123"/>
      <c r="X67" s="52"/>
      <c r="Y67" s="126"/>
      <c r="Z67" s="123"/>
      <c r="AA67" s="52"/>
      <c r="AB67" s="53"/>
      <c r="AC67" s="2"/>
      <c r="AD67" s="1"/>
    </row>
    <row r="68" spans="1:30" ht="22" x14ac:dyDescent="0.7">
      <c r="A68" s="58" t="s">
        <v>219</v>
      </c>
      <c r="B68" s="27"/>
      <c r="C68" s="27"/>
      <c r="D68" s="116">
        <v>1.7</v>
      </c>
      <c r="E68" s="114">
        <v>1.7</v>
      </c>
      <c r="F68" s="27"/>
      <c r="G68" s="37"/>
      <c r="H68" s="114">
        <v>1.7</v>
      </c>
      <c r="I68" s="52"/>
      <c r="J68" s="53"/>
      <c r="K68" s="114">
        <v>1.23</v>
      </c>
      <c r="L68" s="27"/>
      <c r="M68" s="37"/>
      <c r="N68" s="114">
        <v>1.23</v>
      </c>
      <c r="O68" s="27"/>
      <c r="P68" s="37"/>
      <c r="Q68" s="114">
        <v>1.23</v>
      </c>
      <c r="R68" s="27"/>
      <c r="S68" s="47"/>
      <c r="T68" s="114">
        <v>1</v>
      </c>
      <c r="U68" s="27"/>
      <c r="V68" s="37"/>
      <c r="W68" s="114">
        <v>1</v>
      </c>
      <c r="X68" s="27"/>
      <c r="Y68" s="37"/>
      <c r="Z68" s="114">
        <v>1</v>
      </c>
      <c r="AA68" s="52"/>
      <c r="AB68" s="53"/>
      <c r="AC68" s="2"/>
      <c r="AD68" s="1"/>
    </row>
    <row r="69" spans="1:30" ht="22" x14ac:dyDescent="0.7">
      <c r="A69" s="58" t="s">
        <v>225</v>
      </c>
      <c r="B69" s="9"/>
      <c r="C69" s="9"/>
      <c r="D69" s="109">
        <f>((9.81*EARTHQUAKE!$B$17*D33)/(4*PI()^2*D68))*1000</f>
        <v>50.795247873579591</v>
      </c>
      <c r="E69" s="108">
        <f>((9.81*EARTHQUAKE!$B$17*E33)/(4*PI()^2*E68))*1000</f>
        <v>53.476286612126785</v>
      </c>
      <c r="F69" s="9"/>
      <c r="G69" s="22"/>
      <c r="H69" s="124">
        <f>((9.81*EARTHQUAKE!$B$17*H33)/(4*PI()^2*H68))*1000</f>
        <v>55.939215122868198</v>
      </c>
      <c r="I69" s="9"/>
      <c r="J69" s="46"/>
      <c r="K69" s="132">
        <f>((9.81*EARTHQUAKE!$E$17*K33)/(4*PI()^2*K68))*1000</f>
        <v>13.928718779469532</v>
      </c>
      <c r="L69" s="9"/>
      <c r="M69" s="9"/>
      <c r="N69" s="124">
        <f>((9.81*EARTHQUAKE!$E$17*N33)/(4*PI()^2*N68))*1000</f>
        <v>13.9334603395596</v>
      </c>
      <c r="O69" s="9"/>
      <c r="P69" s="9"/>
      <c r="Q69" s="124">
        <f>((9.81*EARTHQUAKE!$E$17*Q33)/(4*PI()^2*Q68))*1000</f>
        <v>13.965660881792809</v>
      </c>
      <c r="R69" s="9"/>
      <c r="S69" s="46"/>
      <c r="T69" s="132">
        <f>((9.81*EARTHQUAKE!$H$17*T33)/(4*PI()^2*T68))*1000</f>
        <v>4.3594211042770237</v>
      </c>
      <c r="U69" s="9"/>
      <c r="V69" s="9"/>
      <c r="W69" s="124">
        <f>((9.81*EARTHQUAKE!$H$17*W33)/(4*PI()^2*W68))*1000</f>
        <v>4.3678714301539641</v>
      </c>
      <c r="X69" s="9"/>
      <c r="Y69" s="9"/>
      <c r="Z69" s="124">
        <f>((9.81*EARTHQUAKE!$H$17*Z33)/(4*PI()^2*Z68))*1000</f>
        <v>4.3728508561539288</v>
      </c>
      <c r="AA69" s="52"/>
      <c r="AB69" s="53"/>
      <c r="AC69" s="2" t="s">
        <v>252</v>
      </c>
      <c r="AD69" s="1"/>
    </row>
    <row r="70" spans="1:30" ht="21" x14ac:dyDescent="0.7">
      <c r="A70" s="58" t="s">
        <v>196</v>
      </c>
      <c r="B70" s="9"/>
      <c r="C70" s="9"/>
      <c r="D70" s="121">
        <f>(D69/D31)*100</f>
        <v>92.354996133781071</v>
      </c>
      <c r="E70" s="122">
        <f>(E69/E31)*100</f>
        <v>89.127144353544637</v>
      </c>
      <c r="F70" s="9"/>
      <c r="G70" s="22"/>
      <c r="H70" s="125">
        <f>(H69/H31)*100</f>
        <v>86.060330958258774</v>
      </c>
      <c r="I70" s="9"/>
      <c r="J70" s="46"/>
      <c r="K70" s="125">
        <f>(K69/K31)*100</f>
        <v>92.858125196463547</v>
      </c>
      <c r="L70" s="9"/>
      <c r="M70" s="9"/>
      <c r="N70" s="125">
        <f>(N69/N31)*100</f>
        <v>92.889735597064004</v>
      </c>
      <c r="O70" s="9"/>
      <c r="P70" s="9"/>
      <c r="Q70" s="125">
        <f>(Q69/Q31)*100</f>
        <v>93.104405878618721</v>
      </c>
      <c r="R70" s="9"/>
      <c r="S70" s="46"/>
      <c r="T70" s="133">
        <f>(T69/T31)*100</f>
        <v>72.657018404617062</v>
      </c>
      <c r="U70" s="9"/>
      <c r="V70" s="9"/>
      <c r="W70" s="125">
        <f>(W69/W31)*100</f>
        <v>72.797857169232742</v>
      </c>
      <c r="X70" s="9"/>
      <c r="Y70" s="9"/>
      <c r="Z70" s="125">
        <f>(Z69/Z31)*100</f>
        <v>72.880847602565481</v>
      </c>
      <c r="AA70" s="52"/>
      <c r="AB70" s="53"/>
      <c r="AC70" s="2"/>
      <c r="AD70" s="1"/>
    </row>
    <row r="71" spans="1:30" ht="21" x14ac:dyDescent="0.7">
      <c r="A71" s="56" t="s">
        <v>212</v>
      </c>
      <c r="B71" s="9"/>
      <c r="C71" s="27"/>
      <c r="D71" s="37"/>
      <c r="E71" s="34"/>
      <c r="F71" s="27"/>
      <c r="G71" s="37"/>
      <c r="H71" s="51"/>
      <c r="I71" s="52"/>
      <c r="J71" s="53"/>
      <c r="K71" s="62"/>
      <c r="L71" s="52"/>
      <c r="M71" s="52"/>
      <c r="N71" s="51"/>
      <c r="O71" s="52"/>
      <c r="P71" s="52"/>
      <c r="Q71" s="51"/>
      <c r="R71" s="52"/>
      <c r="S71" s="53"/>
      <c r="T71" s="62"/>
      <c r="U71" s="52"/>
      <c r="V71" s="52"/>
      <c r="W71" s="51"/>
      <c r="X71" s="52"/>
      <c r="Y71" s="52"/>
      <c r="Z71" s="51"/>
      <c r="AA71" s="52"/>
      <c r="AB71" s="53"/>
      <c r="AC71" s="2"/>
      <c r="AD71" s="1"/>
    </row>
    <row r="72" spans="1:30" ht="21" x14ac:dyDescent="0.7">
      <c r="A72" s="58" t="s">
        <v>159</v>
      </c>
      <c r="B72" s="27"/>
      <c r="C72" s="27"/>
      <c r="D72" s="27">
        <v>2000</v>
      </c>
      <c r="E72" s="34">
        <v>2000</v>
      </c>
      <c r="F72" s="27"/>
      <c r="G72" s="37"/>
      <c r="H72" s="34">
        <v>2000</v>
      </c>
      <c r="I72" s="52"/>
      <c r="J72" s="53"/>
      <c r="K72" s="49">
        <v>2000</v>
      </c>
      <c r="L72" s="27"/>
      <c r="M72" s="27"/>
      <c r="N72" s="34">
        <v>2000</v>
      </c>
      <c r="O72" s="27"/>
      <c r="P72" s="27"/>
      <c r="Q72" s="34">
        <v>2000</v>
      </c>
      <c r="R72" s="27"/>
      <c r="S72" s="47"/>
      <c r="T72" s="49">
        <v>2000</v>
      </c>
      <c r="U72" s="27"/>
      <c r="V72" s="27"/>
      <c r="W72" s="34">
        <v>2000</v>
      </c>
      <c r="X72" s="27"/>
      <c r="Y72" s="27"/>
      <c r="Z72" s="34">
        <v>2000</v>
      </c>
      <c r="AA72" s="52"/>
      <c r="AB72" s="53"/>
      <c r="AC72" s="2" t="s">
        <v>239</v>
      </c>
      <c r="AD72" s="1"/>
    </row>
    <row r="73" spans="1:30" ht="21" x14ac:dyDescent="0.7">
      <c r="A73" s="58" t="s">
        <v>158</v>
      </c>
      <c r="B73" s="9"/>
      <c r="C73" s="9"/>
      <c r="D73" s="9">
        <f>(D21-D20)/(4*D53)</f>
        <v>16.022500000000004</v>
      </c>
      <c r="E73" s="25">
        <f>(E21-E20)/(4*E53)</f>
        <v>17.28125</v>
      </c>
      <c r="F73" s="27"/>
      <c r="G73" s="37"/>
      <c r="H73" s="25">
        <f>(H21-H20)/(4*H53)</f>
        <v>21.404687500000001</v>
      </c>
      <c r="I73" s="9"/>
      <c r="J73" s="46"/>
      <c r="K73" s="129">
        <f>(K21-K20)/(4*K53)</f>
        <v>16.716666666666669</v>
      </c>
      <c r="L73" s="9"/>
      <c r="M73" s="9"/>
      <c r="N73" s="25">
        <f>(N21-N20)/(4*N53)</f>
        <v>20.324999999999999</v>
      </c>
      <c r="O73" s="9"/>
      <c r="P73" s="9"/>
      <c r="Q73" s="25">
        <f>(Q21-Q20)/(4*Q53)</f>
        <v>25.15</v>
      </c>
      <c r="R73" s="9"/>
      <c r="S73" s="46"/>
      <c r="T73" s="129">
        <f>(T21-T20)/(4*T53)</f>
        <v>19.466666666666665</v>
      </c>
      <c r="U73" s="9"/>
      <c r="V73" s="9"/>
      <c r="W73" s="25">
        <f>(W21-W20)/(4*W53)</f>
        <v>20.112500000000001</v>
      </c>
      <c r="X73" s="9"/>
      <c r="Y73" s="9"/>
      <c r="Z73" s="25">
        <f>(Z21-Z20)/(4*Z53)</f>
        <v>24.712499999999999</v>
      </c>
      <c r="AA73" s="52"/>
      <c r="AB73" s="53"/>
      <c r="AC73" s="2" t="s">
        <v>237</v>
      </c>
      <c r="AD73" s="1"/>
    </row>
    <row r="74" spans="1:30" ht="22" x14ac:dyDescent="0.7">
      <c r="A74" s="58" t="s">
        <v>198</v>
      </c>
      <c r="B74" s="9"/>
      <c r="C74" s="9"/>
      <c r="D74" s="9">
        <f>6*D14*D73^2</f>
        <v>693.14536687500038</v>
      </c>
      <c r="E74" s="25">
        <f>6*E14*E73^2</f>
        <v>806.33232421875005</v>
      </c>
      <c r="F74" s="27"/>
      <c r="G74" s="37"/>
      <c r="H74" s="25">
        <f>6*H14*H73^2</f>
        <v>1237.0337468261721</v>
      </c>
      <c r="I74" s="9"/>
      <c r="J74" s="46"/>
      <c r="K74" s="129">
        <f>6*K14*K73^2</f>
        <v>754.50675000000024</v>
      </c>
      <c r="L74" s="9"/>
      <c r="M74" s="9"/>
      <c r="N74" s="25">
        <f>6*N14*N73^2</f>
        <v>1115.3851875</v>
      </c>
      <c r="O74" s="9"/>
      <c r="P74" s="9"/>
      <c r="Q74" s="25">
        <f>6*Q14*Q73^2</f>
        <v>1707.8107499999999</v>
      </c>
      <c r="R74" s="9"/>
      <c r="S74" s="46"/>
      <c r="T74" s="129">
        <f>6*T14*T73^2</f>
        <v>1023.1679999999999</v>
      </c>
      <c r="U74" s="9"/>
      <c r="V74" s="9"/>
      <c r="W74" s="25">
        <f>6*W14*W73^2</f>
        <v>1092.1841718750002</v>
      </c>
      <c r="X74" s="9"/>
      <c r="Y74" s="9"/>
      <c r="Z74" s="25">
        <f>6*Z14*Z73^2</f>
        <v>1648.9106718749999</v>
      </c>
      <c r="AA74" s="52"/>
      <c r="AB74" s="53"/>
      <c r="AC74" s="2" t="s">
        <v>243</v>
      </c>
      <c r="AD74" s="1"/>
    </row>
    <row r="75" spans="1:30" ht="22" x14ac:dyDescent="0.7">
      <c r="A75" s="58" t="s">
        <v>197</v>
      </c>
      <c r="B75" s="9"/>
      <c r="C75" s="9"/>
      <c r="D75" s="9">
        <f>(D23/D24)*((1/D74)+(4/(3*D72)))^-1</f>
        <v>789184.81942117854</v>
      </c>
      <c r="E75" s="25">
        <f>(E23/E24)*((1/E74)+(4/(3*E72)))^-1</f>
        <v>1292369.6116540448</v>
      </c>
      <c r="F75" s="27"/>
      <c r="G75" s="37"/>
      <c r="H75" s="25">
        <f>(H23/H24)*((1/H74)+(4/(3*H72)))^-1</f>
        <v>2069329.6829449665</v>
      </c>
      <c r="I75" s="9"/>
      <c r="J75" s="46"/>
      <c r="K75" s="129">
        <f>(K23/K24)*((1/K74)+(4/(3*K72)))^-1</f>
        <v>871872.15655882214</v>
      </c>
      <c r="L75" s="9"/>
      <c r="M75" s="9"/>
      <c r="N75" s="25">
        <f>(N23/N24)*((1/N74)+(4/(3*N72)))^-1</f>
        <v>2119000.770161585</v>
      </c>
      <c r="O75" s="9"/>
      <c r="P75" s="9"/>
      <c r="Q75" s="25">
        <f>(Q23/Q24)*((1/Q74)+(4/(3*Q72)))^-1</f>
        <v>3273258.7779970635</v>
      </c>
      <c r="R75" s="9"/>
      <c r="S75" s="46"/>
      <c r="T75" s="129">
        <f>(T23/T24)*((1/T74)+(4/(3*T72)))^-1</f>
        <v>1447321.4012259461</v>
      </c>
      <c r="U75" s="9"/>
      <c r="V75" s="9"/>
      <c r="W75" s="25">
        <f>(W23/W24)*((1/W74)+(4/(3*W72)))^-1</f>
        <v>2071607.2792055332</v>
      </c>
      <c r="X75" s="9"/>
      <c r="Y75" s="9"/>
      <c r="Z75" s="25">
        <f>(Z23/Z24)*((1/Z74)+(4/(3*Z72)))^-1</f>
        <v>3163477.9936744357</v>
      </c>
      <c r="AA75" s="52"/>
      <c r="AB75" s="53"/>
      <c r="AC75" s="2" t="s">
        <v>244</v>
      </c>
      <c r="AD75" s="1"/>
    </row>
    <row r="76" spans="1:30" ht="22" x14ac:dyDescent="0.75">
      <c r="A76" s="58" t="s">
        <v>208</v>
      </c>
      <c r="B76" s="9"/>
      <c r="C76" s="9"/>
      <c r="D76" s="9">
        <f>D74/3</f>
        <v>231.04845562500012</v>
      </c>
      <c r="E76" s="25">
        <f>E74/3</f>
        <v>268.77744140625003</v>
      </c>
      <c r="F76" s="27"/>
      <c r="G76" s="37"/>
      <c r="H76" s="25">
        <f t="shared" ref="H76:Z76" si="13">H74/3</f>
        <v>412.34458227539068</v>
      </c>
      <c r="I76" s="9"/>
      <c r="J76" s="46"/>
      <c r="K76" s="129">
        <f t="shared" si="13"/>
        <v>251.50225000000009</v>
      </c>
      <c r="L76" s="9"/>
      <c r="M76" s="9"/>
      <c r="N76" s="25">
        <f t="shared" si="13"/>
        <v>371.79506250000003</v>
      </c>
      <c r="O76" s="9"/>
      <c r="P76" s="9"/>
      <c r="Q76" s="25">
        <f t="shared" si="13"/>
        <v>569.27024999999992</v>
      </c>
      <c r="R76" s="9"/>
      <c r="S76" s="46"/>
      <c r="T76" s="129">
        <f t="shared" si="13"/>
        <v>341.05599999999998</v>
      </c>
      <c r="U76" s="9"/>
      <c r="V76" s="9"/>
      <c r="W76" s="25">
        <f t="shared" si="13"/>
        <v>364.06139062500006</v>
      </c>
      <c r="X76" s="9"/>
      <c r="Y76" s="9"/>
      <c r="Z76" s="25">
        <f t="shared" si="13"/>
        <v>549.63689062499998</v>
      </c>
      <c r="AA76" s="52"/>
      <c r="AB76" s="53"/>
      <c r="AC76" s="2" t="s">
        <v>245</v>
      </c>
      <c r="AD76" s="1" t="s">
        <v>247</v>
      </c>
    </row>
    <row r="77" spans="1:30" ht="25" x14ac:dyDescent="0.7">
      <c r="A77" s="58" t="s">
        <v>209</v>
      </c>
      <c r="B77" s="9"/>
      <c r="C77" s="9"/>
      <c r="D77" s="9">
        <f>((PI()*(D21-D20)^4)/64)</f>
        <v>1073336718.2368804</v>
      </c>
      <c r="E77" s="25">
        <f>((PI()*(E21-E20)^4)/64)</f>
        <v>4590610269.8673754</v>
      </c>
      <c r="F77" s="27"/>
      <c r="G77" s="37"/>
      <c r="H77" s="25">
        <f>((PI()*(H21-H20)^4)/64)</f>
        <v>10804517536.987492</v>
      </c>
      <c r="I77" s="9"/>
      <c r="J77" s="46"/>
      <c r="K77" s="129">
        <f>((PI()*(K21-K20)^4)/64)</f>
        <v>1271784700.3930566</v>
      </c>
      <c r="L77" s="9"/>
      <c r="M77" s="9"/>
      <c r="N77" s="25">
        <f>((PI()*(N21-N20)^4)/64)</f>
        <v>8783993971.6355</v>
      </c>
      <c r="O77" s="9"/>
      <c r="P77" s="9"/>
      <c r="Q77" s="25">
        <f>((PI()*(Q21-Q20)^4)/64)</f>
        <v>20593101950.05875</v>
      </c>
      <c r="R77" s="9"/>
      <c r="S77" s="46"/>
      <c r="T77" s="129">
        <f>((PI()*(T21-T20)^4)/64)</f>
        <v>2338736185.0287051</v>
      </c>
      <c r="U77" s="9"/>
      <c r="V77" s="9"/>
      <c r="W77" s="25">
        <f>((PI()*(W21-W20)^4)/64)</f>
        <v>8422364649.1345491</v>
      </c>
      <c r="X77" s="9"/>
      <c r="Y77" s="9"/>
      <c r="Z77" s="25">
        <f>((PI()*(Z21-Z20)^4)/64)</f>
        <v>19197140405.523384</v>
      </c>
      <c r="AA77" s="52"/>
      <c r="AB77" s="53"/>
      <c r="AC77" s="2"/>
      <c r="AD77" s="1"/>
    </row>
    <row r="78" spans="1:30" ht="22" x14ac:dyDescent="0.75">
      <c r="A78" s="58" t="s">
        <v>210</v>
      </c>
      <c r="B78" s="9"/>
      <c r="C78" s="9"/>
      <c r="D78" s="9">
        <f>D76*D77/D24</f>
        <v>2192686039.9136791</v>
      </c>
      <c r="E78" s="25">
        <f>E76*E77/E24</f>
        <v>7809192929.2924576</v>
      </c>
      <c r="F78" s="27"/>
      <c r="G78" s="37"/>
      <c r="H78" s="25">
        <f>H76*H77/H24</f>
        <v>22765376956.95575</v>
      </c>
      <c r="I78" s="9"/>
      <c r="J78" s="46"/>
      <c r="K78" s="129">
        <f>K76*K77/K24</f>
        <v>2710650115.800252</v>
      </c>
      <c r="L78" s="9"/>
      <c r="M78" s="9"/>
      <c r="N78" s="25">
        <f>N76*N77/N24</f>
        <v>20085151215.767799</v>
      </c>
      <c r="O78" s="9"/>
      <c r="P78" s="9"/>
      <c r="Q78" s="25">
        <f>Q76*Q77/Q24</f>
        <v>58265607829.947464</v>
      </c>
      <c r="R78" s="9"/>
      <c r="S78" s="46"/>
      <c r="T78" s="129">
        <f>T76*T77/T24</f>
        <v>6829109660.2838192</v>
      </c>
      <c r="U78" s="9"/>
      <c r="V78" s="9"/>
      <c r="W78" s="25">
        <f>W76*W77/W24</f>
        <v>19056916013.143349</v>
      </c>
      <c r="X78" s="9"/>
      <c r="Y78" s="9"/>
      <c r="Z78" s="25">
        <f>Z76*Z77/Z24</f>
        <v>53371049880.543373</v>
      </c>
      <c r="AA78" s="52"/>
      <c r="AB78" s="53"/>
      <c r="AC78" s="2" t="s">
        <v>245</v>
      </c>
      <c r="AD78" s="1" t="s">
        <v>246</v>
      </c>
    </row>
    <row r="79" spans="1:30" ht="21" x14ac:dyDescent="0.7">
      <c r="A79" s="56" t="s">
        <v>211</v>
      </c>
      <c r="B79" s="9"/>
      <c r="C79" s="27"/>
      <c r="D79" s="37"/>
      <c r="E79" s="34"/>
      <c r="F79" s="27"/>
      <c r="G79" s="37"/>
      <c r="H79" s="51"/>
      <c r="I79" s="52"/>
      <c r="J79" s="53"/>
      <c r="K79" s="62"/>
      <c r="L79" s="52"/>
      <c r="M79" s="52"/>
      <c r="N79" s="51"/>
      <c r="O79" s="52"/>
      <c r="P79" s="52"/>
      <c r="Q79" s="51"/>
      <c r="R79" s="52"/>
      <c r="S79" s="53"/>
      <c r="T79" s="62"/>
      <c r="U79" s="52"/>
      <c r="V79" s="52"/>
      <c r="W79" s="51"/>
      <c r="X79" s="52"/>
      <c r="Y79" s="52"/>
      <c r="Z79" s="51"/>
      <c r="AA79" s="52"/>
      <c r="AB79" s="53"/>
      <c r="AC79" s="2"/>
      <c r="AD79" s="1"/>
    </row>
    <row r="80" spans="1:30" ht="21" x14ac:dyDescent="0.7">
      <c r="A80" s="58" t="s">
        <v>206</v>
      </c>
      <c r="B80" s="130">
        <v>100</v>
      </c>
      <c r="C80" s="130"/>
      <c r="D80" s="131"/>
      <c r="E80" s="34">
        <v>100</v>
      </c>
      <c r="F80" s="27"/>
      <c r="G80" s="37"/>
      <c r="H80" s="34">
        <v>100</v>
      </c>
      <c r="I80" s="52"/>
      <c r="J80" s="53"/>
      <c r="K80" s="49">
        <v>100</v>
      </c>
      <c r="L80" s="27"/>
      <c r="M80" s="27"/>
      <c r="N80" s="34">
        <v>100</v>
      </c>
      <c r="O80" s="27"/>
      <c r="P80" s="27"/>
      <c r="Q80" s="34">
        <v>100</v>
      </c>
      <c r="R80" s="27"/>
      <c r="S80" s="47"/>
      <c r="T80" s="49">
        <v>100</v>
      </c>
      <c r="U80" s="27"/>
      <c r="V80" s="27"/>
      <c r="W80" s="34">
        <v>100</v>
      </c>
      <c r="X80" s="27"/>
      <c r="Y80" s="27"/>
      <c r="Z80" s="34">
        <v>100</v>
      </c>
      <c r="AA80" s="52"/>
      <c r="AB80" s="53"/>
      <c r="AC80" s="2"/>
      <c r="AD80" s="1"/>
    </row>
    <row r="81" spans="1:30" ht="25" x14ac:dyDescent="0.7">
      <c r="A81" s="58" t="s">
        <v>200</v>
      </c>
      <c r="B81" s="148">
        <f>(B80/1000)*((D21/2)/1000)^2</f>
        <v>6.1911392400000008E-3</v>
      </c>
      <c r="C81" s="148"/>
      <c r="D81" s="149"/>
      <c r="E81" s="25">
        <f>(E80/1000)*((E21/2)/1000)^2</f>
        <v>1.2638025000000001E-2</v>
      </c>
      <c r="F81" s="27"/>
      <c r="G81" s="37"/>
      <c r="H81" s="25">
        <f>(H80/1000)*((H21/2)/1000)^2</f>
        <v>1.9388610562499999E-2</v>
      </c>
      <c r="I81" s="9"/>
      <c r="J81" s="46"/>
      <c r="K81" s="129">
        <f>(K80/1000)*((K21/2)/1000)^2</f>
        <v>6.7392159999999993E-3</v>
      </c>
      <c r="L81" s="9"/>
      <c r="M81" s="9"/>
      <c r="N81" s="25">
        <f>(N80/1000)*((N21/2)/1000)^2</f>
        <v>1.6524225E-2</v>
      </c>
      <c r="O81" s="9"/>
      <c r="P81" s="9"/>
      <c r="Q81" s="25">
        <f>(Q80/1000)*((Q21/2)/1000)^2</f>
        <v>2.5300900000000001E-2</v>
      </c>
      <c r="R81" s="9"/>
      <c r="S81" s="46"/>
      <c r="T81" s="129">
        <f>(T80/1000)*((T21/2)/1000)^2</f>
        <v>8.5264E-3</v>
      </c>
      <c r="U81" s="9"/>
      <c r="V81" s="9"/>
      <c r="W81" s="25">
        <f>(W80/1000)*((W21/2)/1000)^2</f>
        <v>1.6180506250000001E-2</v>
      </c>
      <c r="X81" s="9"/>
      <c r="Y81" s="9"/>
      <c r="Z81" s="25">
        <f>(Z80/1000)*((Z21/2)/1000)^2</f>
        <v>2.4428306250000004E-2</v>
      </c>
      <c r="AA81" s="52"/>
      <c r="AB81" s="53"/>
      <c r="AC81" s="2"/>
      <c r="AD81" s="1"/>
    </row>
    <row r="82" spans="1:30" ht="21" x14ac:dyDescent="0.7">
      <c r="A82" s="58" t="s">
        <v>199</v>
      </c>
      <c r="B82" s="148">
        <f>D75</f>
        <v>789184.81942117854</v>
      </c>
      <c r="C82" s="148"/>
      <c r="D82" s="149"/>
      <c r="E82" s="25">
        <f>E75</f>
        <v>1292369.6116540448</v>
      </c>
      <c r="F82" s="27"/>
      <c r="G82" s="37"/>
      <c r="H82" s="147">
        <f t="shared" ref="H82" si="14">H75</f>
        <v>2069329.6829449665</v>
      </c>
      <c r="I82" s="9"/>
      <c r="J82" s="46"/>
      <c r="K82" s="129">
        <f t="shared" ref="K82:Z82" si="15">K75</f>
        <v>871872.15655882214</v>
      </c>
      <c r="L82" s="9"/>
      <c r="M82" s="9"/>
      <c r="N82" s="25">
        <f t="shared" si="15"/>
        <v>2119000.770161585</v>
      </c>
      <c r="O82" s="9"/>
      <c r="P82" s="9"/>
      <c r="Q82" s="25">
        <f t="shared" si="15"/>
        <v>3273258.7779970635</v>
      </c>
      <c r="R82" s="9"/>
      <c r="S82" s="46"/>
      <c r="T82" s="129">
        <f t="shared" si="15"/>
        <v>1447321.4012259461</v>
      </c>
      <c r="U82" s="9"/>
      <c r="V82" s="9"/>
      <c r="W82" s="25">
        <f t="shared" si="15"/>
        <v>2071607.2792055332</v>
      </c>
      <c r="X82" s="9"/>
      <c r="Y82" s="9"/>
      <c r="Z82" s="25">
        <f t="shared" si="15"/>
        <v>3163477.9936744357</v>
      </c>
      <c r="AA82" s="52"/>
      <c r="AB82" s="53"/>
      <c r="AC82" s="2"/>
      <c r="AD82" s="1"/>
    </row>
    <row r="83" spans="1:30" ht="21" x14ac:dyDescent="0.7">
      <c r="A83" s="58" t="s">
        <v>201</v>
      </c>
      <c r="B83" s="148">
        <f>((D29+(D28*(D25/1000)))/(D25/1000))/D17</f>
        <v>4208.216411958666</v>
      </c>
      <c r="C83" s="148"/>
      <c r="D83" s="149"/>
      <c r="E83" s="25">
        <f>((E29+(E28*(E25/1000)))/(E25/1000))/E17</f>
        <v>8119.9118535404859</v>
      </c>
      <c r="F83" s="27"/>
      <c r="G83" s="37"/>
      <c r="H83" s="25">
        <f>((H29+(H28*(H25/1000)))/(H25/1000))/H17</f>
        <v>12375.216994311213</v>
      </c>
      <c r="I83" s="9"/>
      <c r="J83" s="46"/>
      <c r="K83" s="129">
        <f>((K29+(K28*(K25/1000)))/(K25/1000))/K17</f>
        <v>9308.6267565839044</v>
      </c>
      <c r="L83" s="9"/>
      <c r="M83" s="9"/>
      <c r="N83" s="25">
        <f>((N29+(N28*(N25/1000)))/(N25/1000))/N17</f>
        <v>17676.779705374687</v>
      </c>
      <c r="O83" s="9"/>
      <c r="P83" s="9"/>
      <c r="Q83" s="25">
        <f>((Q29+(Q28*(Q25/1000)))/(Q25/1000))/Q17</f>
        <v>26956.156956591283</v>
      </c>
      <c r="R83" s="9"/>
      <c r="S83" s="46"/>
      <c r="T83" s="129">
        <f>((T29+(T28*(T25/1000)))/(T25/1000))/T17</f>
        <v>18125.336282930464</v>
      </c>
      <c r="U83" s="9"/>
      <c r="V83" s="9"/>
      <c r="W83" s="25">
        <f>((W29+(W28*(W25/1000)))/(W25/1000))/W17</f>
        <v>34257.128681188689</v>
      </c>
      <c r="X83" s="9"/>
      <c r="Y83" s="9"/>
      <c r="Z83" s="25">
        <f>((Z29+(Z28*(Z25/1000)))/(Z25/1000))/Z17</f>
        <v>51615.619994150518</v>
      </c>
      <c r="AA83" s="52"/>
      <c r="AB83" s="53"/>
      <c r="AC83" s="2" t="s">
        <v>248</v>
      </c>
      <c r="AD83" s="1"/>
    </row>
    <row r="84" spans="1:30" ht="21" x14ac:dyDescent="0.7">
      <c r="A84" s="58" t="s">
        <v>204</v>
      </c>
      <c r="B84" s="152">
        <v>0.1</v>
      </c>
      <c r="C84" s="152"/>
      <c r="D84" s="153"/>
      <c r="E84" s="34">
        <v>0.1</v>
      </c>
      <c r="F84" s="27"/>
      <c r="G84" s="37"/>
      <c r="H84" s="34">
        <v>0.1</v>
      </c>
      <c r="I84" s="52"/>
      <c r="J84" s="53"/>
      <c r="K84" s="49">
        <v>0.1</v>
      </c>
      <c r="L84" s="27"/>
      <c r="M84" s="27"/>
      <c r="N84" s="34">
        <v>0.1</v>
      </c>
      <c r="O84" s="27"/>
      <c r="P84" s="27"/>
      <c r="Q84" s="34">
        <v>0.1</v>
      </c>
      <c r="R84" s="27"/>
      <c r="S84" s="47"/>
      <c r="T84" s="49">
        <v>0.1</v>
      </c>
      <c r="U84" s="27"/>
      <c r="V84" s="27"/>
      <c r="W84" s="34">
        <v>0.1</v>
      </c>
      <c r="X84" s="27"/>
      <c r="Y84" s="27"/>
      <c r="Z84" s="34">
        <v>0.1</v>
      </c>
      <c r="AA84" s="52"/>
      <c r="AB84" s="53"/>
      <c r="AC84" s="2"/>
      <c r="AD84" s="1"/>
    </row>
    <row r="85" spans="1:30" ht="21" x14ac:dyDescent="0.7">
      <c r="A85" s="58" t="s">
        <v>202</v>
      </c>
      <c r="B85" s="148">
        <f>D28/D17</f>
        <v>187.27641195866585</v>
      </c>
      <c r="C85" s="148"/>
      <c r="D85" s="149"/>
      <c r="E85" s="25">
        <f>E28/E17</f>
        <v>277.23995311892708</v>
      </c>
      <c r="F85" s="27"/>
      <c r="G85" s="37"/>
      <c r="H85" s="25">
        <f>H28/H17</f>
        <v>343.39151155300021</v>
      </c>
      <c r="I85" s="9"/>
      <c r="J85" s="46"/>
      <c r="K85" s="129">
        <f>K28/K17</f>
        <v>195.39006729551338</v>
      </c>
      <c r="L85" s="9"/>
      <c r="M85" s="9"/>
      <c r="N85" s="25">
        <f>N28/N17</f>
        <v>372.6517499530874</v>
      </c>
      <c r="O85" s="9"/>
      <c r="P85" s="9"/>
      <c r="Q85" s="25">
        <f>Q28/Q17</f>
        <v>461.11643352128647</v>
      </c>
      <c r="R85" s="9"/>
      <c r="S85" s="46"/>
      <c r="T85" s="129">
        <f>T28/T17</f>
        <v>267.68588188512064</v>
      </c>
      <c r="U85" s="9"/>
      <c r="V85" s="9"/>
      <c r="W85" s="25">
        <f>W28/W17</f>
        <v>368.75563694619785</v>
      </c>
      <c r="X85" s="9"/>
      <c r="Y85" s="9"/>
      <c r="Z85" s="25">
        <f>Z28/Z17</f>
        <v>453.09502438945498</v>
      </c>
      <c r="AA85" s="52"/>
      <c r="AB85" s="53"/>
      <c r="AC85" s="2"/>
      <c r="AD85" s="1"/>
    </row>
    <row r="86" spans="1:30" ht="21" x14ac:dyDescent="0.7">
      <c r="A86" s="58" t="s">
        <v>203</v>
      </c>
      <c r="B86" s="148">
        <f>(D29+D28*D25/1000)/D17</f>
        <v>105.20541029896665</v>
      </c>
      <c r="C86" s="148"/>
      <c r="D86" s="149"/>
      <c r="E86" s="25">
        <f>(E29+E28*E25/1000)/E17</f>
        <v>202.99779633851216</v>
      </c>
      <c r="F86" s="27"/>
      <c r="G86" s="37"/>
      <c r="H86" s="25">
        <f>(H29+H28*H25/1000)/H17</f>
        <v>309.38042485778033</v>
      </c>
      <c r="I86" s="9"/>
      <c r="J86" s="46"/>
      <c r="K86" s="129">
        <f>(K29+K28*K25/1000)/K17</f>
        <v>111.70352107900686</v>
      </c>
      <c r="L86" s="9"/>
      <c r="M86" s="9"/>
      <c r="N86" s="25">
        <f>(N29+N28*N25/1000)/N17</f>
        <v>212.12135646449624</v>
      </c>
      <c r="O86" s="9"/>
      <c r="P86" s="9"/>
      <c r="Q86" s="25">
        <f>(Q29+Q28*Q25/1000)/Q17</f>
        <v>323.47388347909543</v>
      </c>
      <c r="R86" s="9"/>
      <c r="S86" s="46"/>
      <c r="T86" s="129">
        <f>(T29+T28*T25/1000)/T17</f>
        <v>108.75201769758277</v>
      </c>
      <c r="U86" s="9"/>
      <c r="V86" s="9"/>
      <c r="W86" s="25">
        <f>(W29+W28*W25/1000)/W17</f>
        <v>205.54277208713214</v>
      </c>
      <c r="X86" s="9"/>
      <c r="Y86" s="9"/>
      <c r="Z86" s="25">
        <f>(Z29+Z28*Z25/1000)/Z17</f>
        <v>309.69371996490315</v>
      </c>
      <c r="AA86" s="52"/>
      <c r="AB86" s="53"/>
      <c r="AC86" s="2" t="s">
        <v>249</v>
      </c>
      <c r="AD86" s="1"/>
    </row>
    <row r="87" spans="1:30" ht="21" x14ac:dyDescent="0.7">
      <c r="A87" s="58" t="s">
        <v>205</v>
      </c>
      <c r="B87" s="148">
        <f>B85/B83</f>
        <v>4.4502562041836675E-2</v>
      </c>
      <c r="C87" s="148"/>
      <c r="D87" s="149"/>
      <c r="E87" s="25">
        <f>E85/E83</f>
        <v>3.4143222010229519E-2</v>
      </c>
      <c r="F87" s="27"/>
      <c r="G87" s="37"/>
      <c r="H87" s="25">
        <f>H85/H83</f>
        <v>2.7748322450495577E-2</v>
      </c>
      <c r="I87" s="127"/>
      <c r="J87" s="128"/>
      <c r="K87" s="129">
        <f>K85/K83</f>
        <v>2.0990213960111335E-2</v>
      </c>
      <c r="L87" s="9"/>
      <c r="M87" s="9"/>
      <c r="N87" s="25">
        <f>N85/N83</f>
        <v>2.1081427509094391E-2</v>
      </c>
      <c r="O87" s="9"/>
      <c r="P87" s="9"/>
      <c r="Q87" s="25">
        <f>Q85/Q83</f>
        <v>1.710616369625103E-2</v>
      </c>
      <c r="R87" s="9"/>
      <c r="S87" s="46"/>
      <c r="T87" s="129">
        <f>T85/T83</f>
        <v>1.4768602232070795E-2</v>
      </c>
      <c r="U87" s="9"/>
      <c r="V87" s="9"/>
      <c r="W87" s="25">
        <f>W85/W83</f>
        <v>1.0764347484519021E-2</v>
      </c>
      <c r="X87" s="9"/>
      <c r="Y87" s="9"/>
      <c r="Z87" s="25">
        <f>Z85/Z83</f>
        <v>8.7782540331938896E-3</v>
      </c>
      <c r="AA87" s="27"/>
      <c r="AB87" s="47"/>
      <c r="AC87" s="2" t="s">
        <v>250</v>
      </c>
      <c r="AD87" s="1"/>
    </row>
    <row r="88" spans="1:30" ht="21" x14ac:dyDescent="0.7">
      <c r="A88" s="58" t="s">
        <v>207</v>
      </c>
      <c r="B88" s="148">
        <f>D78/1000^2</f>
        <v>2192.686039913679</v>
      </c>
      <c r="C88" s="148"/>
      <c r="D88" s="149"/>
      <c r="E88" s="25">
        <f>E78/1000^2</f>
        <v>7809.1929292924578</v>
      </c>
      <c r="F88" s="27"/>
      <c r="G88" s="37"/>
      <c r="H88" s="25">
        <f t="shared" ref="H88" si="16">H78/1000^2</f>
        <v>22765.376956955748</v>
      </c>
      <c r="I88" s="127"/>
      <c r="J88" s="128"/>
      <c r="K88" s="129">
        <f t="shared" ref="K88:Z88" si="17">K78/1000^2</f>
        <v>2710.650115800252</v>
      </c>
      <c r="L88" s="9"/>
      <c r="M88" s="9"/>
      <c r="N88" s="25">
        <f t="shared" si="17"/>
        <v>20085.151215767801</v>
      </c>
      <c r="O88" s="9"/>
      <c r="P88" s="9"/>
      <c r="Q88" s="25">
        <f t="shared" si="17"/>
        <v>58265.607829947461</v>
      </c>
      <c r="R88" s="9"/>
      <c r="S88" s="46"/>
      <c r="T88" s="129">
        <f t="shared" si="17"/>
        <v>6829.1096602838188</v>
      </c>
      <c r="U88" s="9"/>
      <c r="V88" s="9"/>
      <c r="W88" s="25">
        <f t="shared" si="17"/>
        <v>19056.916013143349</v>
      </c>
      <c r="X88" s="9"/>
      <c r="Y88" s="9"/>
      <c r="Z88" s="25">
        <f t="shared" si="17"/>
        <v>53371.049880543374</v>
      </c>
      <c r="AA88" s="27"/>
      <c r="AB88" s="47"/>
      <c r="AC88" s="2"/>
      <c r="AD88" s="1"/>
    </row>
    <row r="89" spans="1:30" ht="21" x14ac:dyDescent="0.7">
      <c r="A89" s="58"/>
      <c r="B89" s="27"/>
      <c r="C89" s="27"/>
      <c r="D89" s="37"/>
      <c r="E89" s="34"/>
      <c r="F89" s="27"/>
      <c r="G89" s="37"/>
      <c r="H89" s="34"/>
      <c r="I89" s="27"/>
      <c r="J89" s="47"/>
      <c r="K89" s="49"/>
      <c r="L89" s="27"/>
      <c r="M89" s="27"/>
      <c r="N89" s="34"/>
      <c r="O89" s="27"/>
      <c r="P89" s="37"/>
      <c r="Q89" s="27"/>
      <c r="R89" s="27"/>
      <c r="S89" s="47"/>
      <c r="T89" s="49"/>
      <c r="U89" s="27"/>
      <c r="V89" s="27"/>
      <c r="W89" s="34"/>
      <c r="X89" s="27"/>
      <c r="Y89" s="27"/>
      <c r="Z89" s="34"/>
      <c r="AA89" s="27"/>
      <c r="AB89" s="47"/>
      <c r="AC89" s="2"/>
      <c r="AD89" s="1"/>
    </row>
    <row r="90" spans="1:30" ht="21" x14ac:dyDescent="0.7">
      <c r="A90" s="58"/>
      <c r="B90" s="27"/>
      <c r="C90" s="27"/>
      <c r="D90" s="37"/>
      <c r="E90" s="34"/>
      <c r="F90" s="27"/>
      <c r="G90" s="37"/>
      <c r="H90" s="51"/>
      <c r="I90" s="52"/>
      <c r="J90" s="53"/>
      <c r="K90" s="62"/>
      <c r="L90" s="52"/>
      <c r="M90" s="52"/>
      <c r="N90" s="51"/>
      <c r="O90" s="52"/>
      <c r="P90" s="37"/>
      <c r="Q90" s="52"/>
      <c r="R90" s="52"/>
      <c r="S90" s="53"/>
      <c r="T90" s="62"/>
      <c r="U90" s="52"/>
      <c r="V90" s="52"/>
      <c r="W90" s="51"/>
      <c r="X90" s="52"/>
      <c r="Y90" s="52"/>
      <c r="Z90" s="51"/>
      <c r="AA90" s="52"/>
      <c r="AB90" s="53"/>
      <c r="AC90" s="2"/>
      <c r="AD90" s="1"/>
    </row>
    <row r="91" spans="1:30" ht="21" x14ac:dyDescent="0.7">
      <c r="A91" s="3"/>
      <c r="B91" s="27"/>
      <c r="C91" s="27"/>
      <c r="D91" s="37"/>
      <c r="E91" s="34"/>
      <c r="F91" s="27"/>
      <c r="G91" s="37"/>
      <c r="H91" s="51"/>
      <c r="I91" s="52"/>
      <c r="J91" s="53"/>
      <c r="K91" s="62"/>
      <c r="L91" s="52"/>
      <c r="M91" s="52"/>
      <c r="N91" s="51"/>
      <c r="O91" s="52"/>
      <c r="P91" s="52"/>
      <c r="Q91" s="51"/>
      <c r="R91" s="52"/>
      <c r="S91" s="53"/>
      <c r="T91" s="62"/>
      <c r="U91" s="52"/>
      <c r="V91" s="52"/>
      <c r="W91" s="51"/>
      <c r="X91" s="52"/>
      <c r="Y91" s="52"/>
      <c r="Z91" s="51"/>
      <c r="AA91" s="52"/>
      <c r="AB91" s="53"/>
      <c r="AC91" s="2"/>
      <c r="AD91" s="1"/>
    </row>
    <row r="92" spans="1:30" ht="21" x14ac:dyDescent="0.7">
      <c r="A92" s="3"/>
      <c r="B92" s="27"/>
      <c r="C92" s="27"/>
      <c r="D92" s="37"/>
      <c r="E92" s="34"/>
      <c r="F92" s="27"/>
      <c r="G92" s="37"/>
      <c r="H92" s="34"/>
      <c r="I92" s="52"/>
      <c r="J92" s="47"/>
      <c r="K92" s="49"/>
      <c r="L92" s="27"/>
      <c r="M92" s="27"/>
      <c r="N92" s="34"/>
      <c r="O92" s="27"/>
      <c r="P92" s="27"/>
      <c r="Q92" s="51"/>
      <c r="R92" s="52"/>
      <c r="S92" s="53"/>
      <c r="T92" s="62"/>
      <c r="U92" s="52"/>
      <c r="V92" s="52"/>
      <c r="W92" s="51"/>
      <c r="X92" s="52"/>
      <c r="Y92" s="52"/>
      <c r="Z92" s="51"/>
      <c r="AA92" s="52"/>
      <c r="AB92" s="53"/>
      <c r="AC92" s="2"/>
      <c r="AD92" s="1"/>
    </row>
    <row r="93" spans="1:30" ht="21" x14ac:dyDescent="0.7">
      <c r="A93" s="3"/>
      <c r="B93" s="27"/>
      <c r="C93" s="27"/>
      <c r="D93" s="37"/>
      <c r="E93" s="34"/>
      <c r="F93" s="27"/>
      <c r="G93" s="37"/>
      <c r="H93" s="51"/>
      <c r="I93" s="52"/>
      <c r="J93" s="53"/>
      <c r="K93" s="62"/>
      <c r="L93" s="52"/>
      <c r="M93" s="52"/>
      <c r="N93" s="51"/>
      <c r="O93" s="52"/>
      <c r="P93" s="52"/>
      <c r="Q93" s="51"/>
      <c r="R93" s="52"/>
      <c r="S93" s="53"/>
      <c r="T93" s="62"/>
      <c r="U93" s="52"/>
      <c r="V93" s="52"/>
      <c r="W93" s="51"/>
      <c r="X93" s="52"/>
      <c r="Y93" s="52"/>
      <c r="Z93" s="51"/>
      <c r="AA93" s="52"/>
      <c r="AB93" s="53"/>
      <c r="AC93" s="2"/>
      <c r="AD93" s="1"/>
    </row>
    <row r="94" spans="1:30" ht="21" x14ac:dyDescent="0.7">
      <c r="A94" s="3"/>
      <c r="B94" s="27"/>
      <c r="C94" s="27"/>
      <c r="D94" s="37"/>
      <c r="E94" s="34"/>
      <c r="F94" s="27"/>
      <c r="G94" s="37"/>
      <c r="H94" s="51"/>
      <c r="I94" s="52"/>
      <c r="J94" s="54"/>
      <c r="K94" s="63"/>
      <c r="L94" s="64"/>
      <c r="M94" s="64"/>
      <c r="N94" s="65"/>
      <c r="O94" s="64"/>
      <c r="P94" s="64"/>
      <c r="Q94" s="51"/>
      <c r="R94" s="52"/>
      <c r="S94" s="47"/>
      <c r="T94" s="49"/>
      <c r="U94" s="27"/>
      <c r="V94" s="27"/>
      <c r="W94" s="34"/>
      <c r="X94" s="27"/>
      <c r="Y94" s="27"/>
      <c r="Z94" s="51"/>
      <c r="AA94" s="52"/>
      <c r="AB94" s="54"/>
      <c r="AC94" s="2"/>
      <c r="AD94" s="1"/>
    </row>
    <row r="95" spans="1:30" ht="21" x14ac:dyDescent="0.7">
      <c r="A95" s="3"/>
      <c r="B95" s="27"/>
      <c r="C95" s="27"/>
      <c r="D95" s="37"/>
      <c r="E95" s="34"/>
      <c r="F95" s="27"/>
      <c r="G95" s="37"/>
      <c r="H95" s="51"/>
      <c r="I95" s="52"/>
      <c r="J95" s="54"/>
      <c r="K95" s="63"/>
      <c r="L95" s="64"/>
      <c r="M95" s="64"/>
      <c r="N95" s="65"/>
      <c r="O95" s="64"/>
      <c r="P95" s="64"/>
      <c r="Q95" s="51"/>
      <c r="R95" s="52"/>
      <c r="S95" s="47"/>
      <c r="T95" s="49"/>
      <c r="U95" s="27"/>
      <c r="V95" s="27"/>
      <c r="W95" s="34"/>
      <c r="X95" s="27"/>
      <c r="Y95" s="27"/>
      <c r="Z95" s="51"/>
      <c r="AA95" s="52"/>
      <c r="AB95" s="54"/>
      <c r="AC95" s="2"/>
      <c r="AD95" s="1"/>
    </row>
    <row r="96" spans="1:30" ht="21" x14ac:dyDescent="0.7">
      <c r="A96" s="3"/>
      <c r="B96" s="27"/>
      <c r="C96" s="27"/>
      <c r="D96" s="37"/>
      <c r="E96" s="34"/>
      <c r="F96" s="27"/>
      <c r="G96" s="37"/>
      <c r="H96" s="51"/>
      <c r="I96" s="52"/>
      <c r="J96" s="53"/>
      <c r="K96" s="62"/>
      <c r="L96" s="52"/>
      <c r="M96" s="52"/>
      <c r="N96" s="51"/>
      <c r="O96" s="52"/>
      <c r="P96" s="52"/>
      <c r="Q96" s="51"/>
      <c r="R96" s="52"/>
      <c r="S96" s="53"/>
      <c r="T96" s="62"/>
      <c r="U96" s="52"/>
      <c r="V96" s="52"/>
      <c r="W96" s="51"/>
      <c r="X96" s="52"/>
      <c r="Y96" s="52"/>
      <c r="Z96" s="51"/>
      <c r="AA96" s="52"/>
      <c r="AB96" s="53"/>
      <c r="AC96" s="2"/>
      <c r="AD96" s="1"/>
    </row>
    <row r="97" spans="1:30" ht="21" x14ac:dyDescent="0.7">
      <c r="A97" s="3"/>
      <c r="B97" s="27"/>
      <c r="C97" s="27"/>
      <c r="D97" s="37"/>
      <c r="E97" s="34"/>
      <c r="F97" s="27"/>
      <c r="G97" s="37"/>
      <c r="H97" s="34"/>
      <c r="I97" s="27"/>
      <c r="J97" s="48"/>
      <c r="K97" s="50"/>
      <c r="L97" s="36"/>
      <c r="M97" s="36"/>
      <c r="N97" s="43"/>
      <c r="O97" s="36"/>
      <c r="P97" s="36"/>
      <c r="Q97" s="51"/>
      <c r="R97" s="52"/>
      <c r="S97" s="53"/>
      <c r="T97" s="62"/>
      <c r="U97" s="52"/>
      <c r="V97" s="52"/>
      <c r="W97" s="51"/>
      <c r="X97" s="52"/>
      <c r="Y97" s="52"/>
      <c r="Z97" s="34"/>
      <c r="AA97" s="27"/>
      <c r="AB97" s="48"/>
      <c r="AC97" s="2"/>
      <c r="AD97" s="1"/>
    </row>
    <row r="98" spans="1:30" ht="21" x14ac:dyDescent="0.7">
      <c r="A98" s="3"/>
      <c r="B98" s="27"/>
      <c r="C98" s="27"/>
      <c r="D98" s="37"/>
      <c r="E98" s="34"/>
      <c r="F98" s="27"/>
      <c r="G98" s="37"/>
      <c r="H98" s="51"/>
      <c r="I98" s="52"/>
      <c r="J98" s="53"/>
      <c r="K98" s="62"/>
      <c r="L98" s="52"/>
      <c r="M98" s="52"/>
      <c r="N98" s="51"/>
      <c r="O98" s="52"/>
      <c r="P98" s="52"/>
      <c r="Q98" s="51"/>
      <c r="R98" s="52"/>
      <c r="S98" s="53"/>
      <c r="T98" s="62"/>
      <c r="U98" s="52"/>
      <c r="V98" s="52"/>
      <c r="W98" s="51"/>
      <c r="X98" s="52"/>
      <c r="Y98" s="52"/>
      <c r="Z98" s="51"/>
      <c r="AA98" s="52"/>
      <c r="AB98" s="53"/>
      <c r="AC98" s="2"/>
      <c r="AD98" s="1"/>
    </row>
    <row r="99" spans="1:30" ht="21" x14ac:dyDescent="0.7">
      <c r="A99" s="3"/>
      <c r="B99" s="27"/>
      <c r="C99" s="27"/>
      <c r="D99" s="37"/>
      <c r="E99" s="34"/>
      <c r="F99" s="27"/>
      <c r="G99" s="37"/>
      <c r="H99" s="34"/>
      <c r="I99" s="27"/>
      <c r="J99" s="48"/>
      <c r="K99" s="50"/>
      <c r="L99" s="36"/>
      <c r="M99" s="36"/>
      <c r="N99" s="43"/>
      <c r="O99" s="36"/>
      <c r="P99" s="36"/>
      <c r="Q99" s="51"/>
      <c r="R99" s="52"/>
      <c r="S99" s="53"/>
      <c r="T99" s="62"/>
      <c r="U99" s="52"/>
      <c r="V99" s="52"/>
      <c r="W99" s="51"/>
      <c r="X99" s="52"/>
      <c r="Y99" s="52"/>
      <c r="Z99" s="34"/>
      <c r="AA99" s="36"/>
      <c r="AB99" s="48"/>
      <c r="AC99" s="2"/>
      <c r="AD99" s="1"/>
    </row>
    <row r="100" spans="1:30" ht="21" x14ac:dyDescent="0.7">
      <c r="A100" s="3"/>
      <c r="B100" s="27"/>
      <c r="C100" s="27"/>
      <c r="D100" s="37"/>
      <c r="E100" s="34"/>
      <c r="F100" s="27"/>
      <c r="G100" s="37"/>
      <c r="H100" s="51"/>
      <c r="I100" s="52"/>
      <c r="J100" s="55"/>
      <c r="K100" s="66"/>
      <c r="L100" s="67"/>
      <c r="M100" s="67"/>
      <c r="N100" s="68"/>
      <c r="O100" s="67"/>
      <c r="P100" s="67"/>
      <c r="Q100" s="51"/>
      <c r="R100" s="52"/>
      <c r="S100" s="53"/>
      <c r="T100" s="62"/>
      <c r="U100" s="52"/>
      <c r="V100" s="52"/>
      <c r="W100" s="51"/>
      <c r="X100" s="52"/>
      <c r="Y100" s="52"/>
      <c r="Z100" s="51"/>
      <c r="AA100" s="52"/>
      <c r="AB100" s="53"/>
      <c r="AC100" s="2"/>
      <c r="AD100" s="1"/>
    </row>
    <row r="101" spans="1:30" ht="21" x14ac:dyDescent="0.7">
      <c r="A101" s="3"/>
      <c r="B101" s="27"/>
      <c r="C101" s="27"/>
      <c r="D101" s="37"/>
      <c r="E101" s="34"/>
      <c r="F101" s="27"/>
      <c r="G101" s="37"/>
      <c r="H101" s="34"/>
      <c r="I101" s="27"/>
      <c r="J101" s="48"/>
      <c r="K101" s="50"/>
      <c r="L101" s="36"/>
      <c r="M101" s="36"/>
      <c r="N101" s="43"/>
      <c r="O101" s="36"/>
      <c r="P101" s="36"/>
      <c r="Q101" s="51"/>
      <c r="R101" s="52"/>
      <c r="S101" s="53"/>
      <c r="T101" s="62"/>
      <c r="U101" s="52"/>
      <c r="V101" s="52"/>
      <c r="W101" s="51"/>
      <c r="X101" s="52"/>
      <c r="Y101" s="52"/>
      <c r="Z101" s="51"/>
      <c r="AA101" s="52"/>
      <c r="AB101" s="53"/>
      <c r="AC101" s="2"/>
      <c r="AD101" s="1"/>
    </row>
    <row r="102" spans="1:30" ht="21" x14ac:dyDescent="0.7">
      <c r="A102" s="3"/>
      <c r="B102" s="27"/>
      <c r="C102" s="27"/>
      <c r="D102" s="37"/>
      <c r="E102" s="34"/>
      <c r="F102" s="27"/>
      <c r="G102" s="37"/>
      <c r="H102" s="34"/>
      <c r="I102" s="27"/>
      <c r="J102" s="48"/>
      <c r="K102" s="50"/>
      <c r="L102" s="36"/>
      <c r="M102" s="36"/>
      <c r="N102" s="43"/>
      <c r="O102" s="36"/>
      <c r="P102" s="36"/>
      <c r="Q102" s="51"/>
      <c r="R102" s="52"/>
      <c r="S102" s="53"/>
      <c r="T102" s="62"/>
      <c r="U102" s="52"/>
      <c r="V102" s="52"/>
      <c r="W102" s="51"/>
      <c r="X102" s="52"/>
      <c r="Y102" s="52"/>
      <c r="Z102" s="34"/>
      <c r="AA102" s="27"/>
      <c r="AB102" s="48"/>
      <c r="AC102" s="2"/>
      <c r="AD102" s="1"/>
    </row>
    <row r="103" spans="1:30" ht="21" x14ac:dyDescent="0.7">
      <c r="A103" s="3"/>
      <c r="B103" s="27"/>
      <c r="C103" s="27"/>
      <c r="D103" s="37"/>
      <c r="E103" s="34"/>
      <c r="F103" s="27"/>
      <c r="G103" s="37"/>
      <c r="H103" s="51"/>
      <c r="I103" s="52"/>
      <c r="J103" s="55"/>
      <c r="K103" s="66"/>
      <c r="L103" s="67"/>
      <c r="M103" s="67"/>
      <c r="N103" s="68"/>
      <c r="O103" s="67"/>
      <c r="P103" s="67"/>
      <c r="Q103" s="51"/>
      <c r="R103" s="52"/>
      <c r="S103" s="53"/>
      <c r="T103" s="62"/>
      <c r="U103" s="52"/>
      <c r="V103" s="52"/>
      <c r="W103" s="51"/>
      <c r="X103" s="52"/>
      <c r="Y103" s="52"/>
      <c r="Z103" s="34"/>
      <c r="AA103" s="27"/>
      <c r="AB103" s="48"/>
      <c r="AC103" s="2"/>
      <c r="AD103" s="1"/>
    </row>
    <row r="104" spans="1:30" ht="21" x14ac:dyDescent="0.7">
      <c r="A104" s="3"/>
      <c r="B104" s="27"/>
      <c r="C104" s="27"/>
      <c r="D104" s="37"/>
      <c r="E104" s="34"/>
      <c r="F104" s="27"/>
      <c r="G104" s="37"/>
      <c r="H104" s="34"/>
      <c r="I104" s="27"/>
      <c r="J104" s="47"/>
      <c r="K104" s="49"/>
      <c r="L104" s="27"/>
      <c r="M104" s="27"/>
      <c r="N104" s="34"/>
      <c r="O104" s="27"/>
      <c r="P104" s="27"/>
      <c r="Q104" s="34"/>
      <c r="R104" s="27"/>
      <c r="S104" s="47"/>
      <c r="T104" s="49"/>
      <c r="U104" s="27"/>
      <c r="V104" s="27"/>
      <c r="W104" s="34"/>
      <c r="X104" s="27"/>
      <c r="Y104" s="27"/>
      <c r="Z104" s="34"/>
      <c r="AA104" s="27"/>
      <c r="AB104" s="48"/>
      <c r="AC104" s="2"/>
      <c r="AD104" s="1"/>
    </row>
    <row r="105" spans="1:30" ht="21" x14ac:dyDescent="0.7">
      <c r="A105" s="3"/>
      <c r="B105" s="27"/>
      <c r="C105" s="27"/>
      <c r="D105" s="37"/>
      <c r="E105" s="34"/>
      <c r="F105" s="27"/>
      <c r="G105" s="37"/>
      <c r="H105" s="34"/>
      <c r="I105" s="27"/>
      <c r="J105" s="47"/>
      <c r="K105" s="49"/>
      <c r="L105" s="27"/>
      <c r="M105" s="27"/>
      <c r="N105" s="34"/>
      <c r="O105" s="27"/>
      <c r="P105" s="27"/>
      <c r="Q105" s="34"/>
      <c r="R105" s="27"/>
      <c r="S105" s="47"/>
      <c r="T105" s="49"/>
      <c r="U105" s="27"/>
      <c r="V105" s="27"/>
      <c r="W105" s="34"/>
      <c r="X105" s="27"/>
      <c r="Y105" s="27"/>
      <c r="Z105" s="34"/>
      <c r="AA105" s="27"/>
      <c r="AB105" s="48"/>
      <c r="AC105" s="2"/>
      <c r="AD105" s="1"/>
    </row>
    <row r="106" spans="1:30" ht="21" x14ac:dyDescent="0.7">
      <c r="A106" s="3"/>
      <c r="B106" s="27"/>
      <c r="C106" s="27"/>
      <c r="D106" s="37"/>
      <c r="E106" s="34"/>
      <c r="F106" s="27"/>
      <c r="G106" s="37"/>
      <c r="H106" s="43"/>
      <c r="I106" s="36"/>
      <c r="J106" s="48"/>
      <c r="K106" s="50"/>
      <c r="L106" s="36"/>
      <c r="M106" s="36"/>
      <c r="N106" s="43"/>
      <c r="O106" s="36"/>
      <c r="P106" s="36"/>
      <c r="Q106" s="34"/>
      <c r="R106" s="27"/>
      <c r="S106" s="47"/>
      <c r="T106" s="49"/>
      <c r="U106" s="27"/>
      <c r="V106" s="27"/>
      <c r="W106" s="34"/>
      <c r="X106" s="27"/>
      <c r="Y106" s="27"/>
      <c r="Z106" s="34"/>
      <c r="AA106" s="27"/>
      <c r="AB106" s="48"/>
      <c r="AC106" s="2"/>
      <c r="AD106" s="1"/>
    </row>
    <row r="107" spans="1:30" ht="21" x14ac:dyDescent="0.7">
      <c r="A107" s="3"/>
      <c r="B107" s="27"/>
      <c r="C107" s="27"/>
      <c r="D107" s="37"/>
      <c r="E107" s="34"/>
      <c r="F107" s="27"/>
      <c r="G107" s="37"/>
      <c r="H107" s="43"/>
      <c r="I107" s="36"/>
      <c r="J107" s="47"/>
      <c r="K107" s="49"/>
      <c r="L107" s="27"/>
      <c r="M107" s="27"/>
      <c r="N107" s="34"/>
      <c r="O107" s="27"/>
      <c r="P107" s="27"/>
      <c r="Q107" s="34"/>
      <c r="R107" s="27"/>
      <c r="S107" s="47"/>
      <c r="T107" s="49"/>
      <c r="U107" s="27"/>
      <c r="V107" s="27"/>
      <c r="W107" s="34"/>
      <c r="X107" s="27"/>
      <c r="Y107" s="27"/>
      <c r="Z107" s="34"/>
      <c r="AA107" s="27"/>
      <c r="AB107" s="48"/>
      <c r="AC107" s="2"/>
      <c r="AD107" s="1"/>
    </row>
    <row r="108" spans="1:30" ht="21" x14ac:dyDescent="0.7">
      <c r="A108" s="3"/>
      <c r="B108" s="27"/>
      <c r="C108" s="27"/>
      <c r="D108" s="37"/>
      <c r="E108" s="34"/>
      <c r="F108" s="27"/>
      <c r="G108" s="37"/>
      <c r="H108" s="34"/>
      <c r="I108" s="27"/>
      <c r="J108" s="47"/>
      <c r="K108" s="49"/>
      <c r="L108" s="27"/>
      <c r="M108" s="27"/>
      <c r="N108" s="34"/>
      <c r="O108" s="27"/>
      <c r="P108" s="27"/>
      <c r="Q108" s="34"/>
      <c r="R108" s="27"/>
      <c r="S108" s="47"/>
      <c r="T108" s="49"/>
      <c r="U108" s="27"/>
      <c r="V108" s="27"/>
      <c r="W108" s="34"/>
      <c r="X108" s="27"/>
      <c r="Y108" s="27"/>
      <c r="Z108" s="34"/>
      <c r="AA108" s="27"/>
      <c r="AB108" s="48"/>
      <c r="AC108" s="2"/>
      <c r="AD108" s="1"/>
    </row>
    <row r="109" spans="1:30" ht="21" x14ac:dyDescent="0.7">
      <c r="A109" s="3"/>
      <c r="B109" s="27"/>
      <c r="C109" s="27"/>
      <c r="D109" s="37"/>
      <c r="E109" s="34"/>
      <c r="F109" s="27"/>
      <c r="G109" s="37"/>
      <c r="H109" s="34"/>
      <c r="I109" s="27"/>
      <c r="J109" s="47"/>
      <c r="K109" s="49"/>
      <c r="L109" s="27"/>
      <c r="M109" s="27"/>
      <c r="N109" s="34"/>
      <c r="O109" s="27"/>
      <c r="P109" s="27"/>
      <c r="Q109" s="34"/>
      <c r="R109" s="27"/>
      <c r="S109" s="47"/>
      <c r="T109" s="49"/>
      <c r="U109" s="27"/>
      <c r="V109" s="27"/>
      <c r="W109" s="34"/>
      <c r="X109" s="27"/>
      <c r="Y109" s="27"/>
      <c r="Z109" s="34"/>
      <c r="AA109" s="27"/>
      <c r="AB109" s="48"/>
      <c r="AC109" s="2"/>
      <c r="AD109" s="1"/>
    </row>
    <row r="110" spans="1:30" ht="21" x14ac:dyDescent="0.7">
      <c r="A110" s="3"/>
      <c r="B110" s="27"/>
      <c r="C110" s="27"/>
      <c r="D110" s="37"/>
      <c r="E110" s="34"/>
      <c r="F110" s="27"/>
      <c r="G110" s="37"/>
      <c r="H110" s="51"/>
      <c r="I110" s="52"/>
      <c r="J110" s="53"/>
      <c r="K110" s="62"/>
      <c r="L110" s="52"/>
      <c r="M110" s="52"/>
      <c r="N110" s="51"/>
      <c r="O110" s="52"/>
      <c r="P110" s="126"/>
      <c r="Q110" s="52"/>
      <c r="R110" s="52"/>
      <c r="S110" s="53"/>
      <c r="T110" s="62"/>
      <c r="U110" s="52"/>
      <c r="V110" s="52"/>
      <c r="W110" s="51"/>
      <c r="X110" s="52"/>
      <c r="Y110" s="52"/>
      <c r="Z110" s="51"/>
      <c r="AA110" s="52"/>
      <c r="AB110" s="53"/>
      <c r="AC110" s="2"/>
      <c r="AD110" s="1"/>
    </row>
    <row r="111" spans="1:30" ht="21.5" thickBot="1" x14ac:dyDescent="0.75">
      <c r="A111" s="4" t="s">
        <v>41</v>
      </c>
      <c r="B111" s="60"/>
      <c r="C111" s="60"/>
      <c r="D111" s="60"/>
      <c r="E111" s="59"/>
      <c r="F111" s="60"/>
      <c r="G111" s="69"/>
      <c r="H111" s="59"/>
      <c r="I111" s="60"/>
      <c r="J111" s="61"/>
      <c r="K111" s="70"/>
      <c r="L111" s="60"/>
      <c r="M111" s="60"/>
      <c r="N111" s="59"/>
      <c r="O111" s="60"/>
      <c r="P111" s="60"/>
      <c r="Q111" s="59"/>
      <c r="R111" s="60"/>
      <c r="S111" s="61"/>
      <c r="T111" s="70"/>
      <c r="U111" s="60"/>
      <c r="V111" s="60"/>
      <c r="W111" s="59"/>
      <c r="X111" s="60"/>
      <c r="Y111" s="60"/>
      <c r="Z111" s="59"/>
      <c r="AA111" s="60"/>
      <c r="AB111" s="61"/>
      <c r="AC111" s="7"/>
      <c r="AD111" s="5"/>
    </row>
    <row r="112" spans="1:30" ht="15" thickTop="1" x14ac:dyDescent="0.35"/>
    <row r="114" spans="1:28" x14ac:dyDescent="0.35">
      <c r="S114" s="11"/>
      <c r="T114" s="11"/>
      <c r="U114" s="11"/>
      <c r="V114" s="11"/>
      <c r="W114" s="11"/>
      <c r="X114" s="11"/>
      <c r="Y114" s="11"/>
      <c r="Z114" s="11"/>
      <c r="AA114" s="11"/>
    </row>
    <row r="116" spans="1:28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</sheetData>
  <mergeCells count="24">
    <mergeCell ref="B85:D85"/>
    <mergeCell ref="B86:D86"/>
    <mergeCell ref="B87:D87"/>
    <mergeCell ref="B88:D88"/>
    <mergeCell ref="B81:D81"/>
    <mergeCell ref="B82:D82"/>
    <mergeCell ref="B83:D83"/>
    <mergeCell ref="B84:D84"/>
    <mergeCell ref="Z5:AB5"/>
    <mergeCell ref="A3:A6"/>
    <mergeCell ref="B3:AB3"/>
    <mergeCell ref="AC3:AC6"/>
    <mergeCell ref="AD3:AD6"/>
    <mergeCell ref="B4:J4"/>
    <mergeCell ref="K4:S4"/>
    <mergeCell ref="T4:AB4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95BF-AD98-442D-8689-CA4679885256}">
  <dimension ref="B1:V12"/>
  <sheetViews>
    <sheetView view="pageBreakPreview" zoomScale="70" zoomScaleNormal="100" zoomScaleSheetLayoutView="70" workbookViewId="0">
      <selection activeCell="O8" sqref="O8"/>
    </sheetView>
  </sheetViews>
  <sheetFormatPr defaultRowHeight="14.5" x14ac:dyDescent="0.35"/>
  <cols>
    <col min="1" max="1" width="2.6328125" customWidth="1"/>
    <col min="2" max="2" width="3.6328125" customWidth="1"/>
    <col min="5" max="5" width="3.6328125" customWidth="1"/>
    <col min="11" max="11" width="3.6328125" customWidth="1"/>
    <col min="12" max="12" width="2.6328125" customWidth="1"/>
    <col min="13" max="13" width="3.6328125" customWidth="1"/>
    <col min="16" max="16" width="3.6328125" customWidth="1"/>
    <col min="22" max="23" width="3.6328125" customWidth="1"/>
  </cols>
  <sheetData>
    <row r="1" spans="2:22" ht="15" thickBot="1" x14ac:dyDescent="0.4"/>
    <row r="2" spans="2:22" ht="25" thickBot="1" x14ac:dyDescent="0.9">
      <c r="B2" s="92"/>
      <c r="C2" s="93"/>
      <c r="D2" s="93"/>
      <c r="E2" s="191" t="s">
        <v>191</v>
      </c>
      <c r="F2" s="191"/>
      <c r="G2" s="94"/>
      <c r="H2" s="94"/>
      <c r="I2" s="94"/>
      <c r="J2" s="94"/>
      <c r="K2" s="95"/>
      <c r="L2" s="79"/>
      <c r="M2" s="92"/>
      <c r="N2" s="93"/>
      <c r="O2" s="93"/>
      <c r="P2" s="94"/>
      <c r="Q2" s="94"/>
      <c r="R2" s="94"/>
      <c r="S2" s="94"/>
      <c r="T2" s="94"/>
      <c r="U2" s="94"/>
      <c r="V2" s="95" t="s">
        <v>190</v>
      </c>
    </row>
    <row r="3" spans="2:22" ht="25" thickBot="1" x14ac:dyDescent="0.9">
      <c r="B3" s="96"/>
      <c r="C3" s="89" t="s">
        <v>192</v>
      </c>
      <c r="D3" s="89">
        <v>1</v>
      </c>
      <c r="E3" s="79"/>
      <c r="F3" s="80"/>
      <c r="G3" s="79"/>
      <c r="H3" s="79"/>
      <c r="I3" s="79"/>
      <c r="J3" s="79"/>
      <c r="K3" s="97"/>
      <c r="L3" s="79"/>
      <c r="M3" s="96"/>
      <c r="N3" s="89" t="s">
        <v>192</v>
      </c>
      <c r="O3" s="89">
        <v>10</v>
      </c>
      <c r="P3" s="79"/>
      <c r="Q3" s="79"/>
      <c r="R3" s="79"/>
      <c r="S3" s="79"/>
      <c r="T3" s="79"/>
      <c r="U3" s="102"/>
      <c r="V3" s="97"/>
    </row>
    <row r="4" spans="2:22" ht="25" thickBot="1" x14ac:dyDescent="0.9">
      <c r="B4" s="96"/>
      <c r="C4" s="89" t="s">
        <v>188</v>
      </c>
      <c r="D4" s="89">
        <v>1.5</v>
      </c>
      <c r="E4" s="79"/>
      <c r="F4" s="81"/>
      <c r="G4" s="82"/>
      <c r="H4" s="192" t="s">
        <v>189</v>
      </c>
      <c r="I4" s="192"/>
      <c r="J4" s="79"/>
      <c r="K4" s="97"/>
      <c r="L4" s="79"/>
      <c r="M4" s="96"/>
      <c r="N4" s="89" t="s">
        <v>188</v>
      </c>
      <c r="O4" s="89">
        <v>12</v>
      </c>
      <c r="P4" s="79"/>
      <c r="Q4" s="79"/>
      <c r="R4" s="79"/>
      <c r="S4" s="105" t="s">
        <v>189</v>
      </c>
      <c r="T4" s="103"/>
      <c r="U4" s="84"/>
      <c r="V4" s="97"/>
    </row>
    <row r="5" spans="2:22" ht="25" thickBot="1" x14ac:dyDescent="0.9">
      <c r="B5" s="96"/>
      <c r="C5" s="89" t="s">
        <v>187</v>
      </c>
      <c r="D5" s="89">
        <v>2</v>
      </c>
      <c r="E5" s="79"/>
      <c r="F5" s="81"/>
      <c r="G5" s="79"/>
      <c r="H5" s="82"/>
      <c r="I5" s="79"/>
      <c r="J5" s="79"/>
      <c r="K5" s="97"/>
      <c r="L5" s="79"/>
      <c r="M5" s="96"/>
      <c r="N5" s="89" t="s">
        <v>187</v>
      </c>
      <c r="O5" s="89">
        <v>20</v>
      </c>
      <c r="P5" s="79"/>
      <c r="Q5" s="79"/>
      <c r="R5" s="79"/>
      <c r="S5" s="104"/>
      <c r="T5" s="79"/>
      <c r="U5" s="84"/>
      <c r="V5" s="97"/>
    </row>
    <row r="6" spans="2:22" ht="25" thickBot="1" x14ac:dyDescent="0.9">
      <c r="B6" s="96"/>
      <c r="C6" s="89" t="s">
        <v>191</v>
      </c>
      <c r="D6" s="89">
        <v>3</v>
      </c>
      <c r="E6" s="79"/>
      <c r="F6" s="81"/>
      <c r="G6" s="79"/>
      <c r="H6" s="83"/>
      <c r="I6" s="82"/>
      <c r="K6" s="98"/>
      <c r="L6" s="79"/>
      <c r="M6" s="96"/>
      <c r="N6" s="89" t="s">
        <v>191</v>
      </c>
      <c r="O6" s="89">
        <v>1.2</v>
      </c>
      <c r="P6" s="79"/>
      <c r="Q6" s="79"/>
      <c r="R6" s="103"/>
      <c r="S6" s="83"/>
      <c r="T6" s="79"/>
      <c r="U6" s="78"/>
      <c r="V6" s="98"/>
    </row>
    <row r="7" spans="2:22" ht="25" thickBot="1" x14ac:dyDescent="0.9">
      <c r="B7" s="96"/>
      <c r="C7" s="89" t="s">
        <v>189</v>
      </c>
      <c r="D7" s="91">
        <f>(((D4-D3)*(D8-D6))/(D5-D3))+D8</f>
        <v>1.5</v>
      </c>
      <c r="E7" s="79"/>
      <c r="F7" s="81"/>
      <c r="G7" s="79"/>
      <c r="H7" s="83"/>
      <c r="I7" s="79"/>
      <c r="J7" s="82"/>
      <c r="K7" s="97" t="s">
        <v>190</v>
      </c>
      <c r="L7" s="79"/>
      <c r="M7" s="96"/>
      <c r="N7" s="89" t="s">
        <v>189</v>
      </c>
      <c r="O7" s="91">
        <f>(((O4-O3)*(O8-O6))/(O5-O3))+O6</f>
        <v>1.26</v>
      </c>
      <c r="P7" s="79"/>
      <c r="Q7" s="103" t="s">
        <v>191</v>
      </c>
      <c r="S7" s="83"/>
      <c r="T7" s="79"/>
      <c r="U7" s="78"/>
      <c r="V7" s="97"/>
    </row>
    <row r="8" spans="2:22" ht="25" thickBot="1" x14ac:dyDescent="0.9">
      <c r="B8" s="96"/>
      <c r="C8" s="89" t="s">
        <v>190</v>
      </c>
      <c r="D8" s="89">
        <v>2</v>
      </c>
      <c r="E8" s="79"/>
      <c r="F8" s="85"/>
      <c r="G8" s="86"/>
      <c r="H8" s="87"/>
      <c r="I8" s="86"/>
      <c r="J8" s="88"/>
      <c r="K8" s="98"/>
      <c r="L8" s="79"/>
      <c r="M8" s="96"/>
      <c r="N8" s="89" t="s">
        <v>190</v>
      </c>
      <c r="O8" s="89">
        <v>1.5</v>
      </c>
      <c r="P8" s="79"/>
      <c r="Q8" s="85"/>
      <c r="R8" s="86"/>
      <c r="S8" s="87"/>
      <c r="T8" s="86"/>
      <c r="U8" s="88"/>
      <c r="V8" s="98"/>
    </row>
    <row r="9" spans="2:22" ht="25.5" thickTop="1" thickBot="1" x14ac:dyDescent="0.9">
      <c r="B9" s="99"/>
      <c r="C9" s="28"/>
      <c r="D9" s="28"/>
      <c r="E9" s="190" t="s">
        <v>192</v>
      </c>
      <c r="F9" s="190"/>
      <c r="G9" s="100"/>
      <c r="H9" s="189" t="s">
        <v>188</v>
      </c>
      <c r="I9" s="189"/>
      <c r="J9" s="100"/>
      <c r="K9" s="101" t="s">
        <v>187</v>
      </c>
      <c r="L9" s="90"/>
      <c r="M9" s="99"/>
      <c r="N9" s="28"/>
      <c r="O9" s="28"/>
      <c r="P9" s="106"/>
      <c r="Q9" s="106" t="s">
        <v>192</v>
      </c>
      <c r="R9" s="100"/>
      <c r="S9" s="189" t="s">
        <v>188</v>
      </c>
      <c r="T9" s="189"/>
      <c r="U9" s="100"/>
      <c r="V9" s="101" t="s">
        <v>187</v>
      </c>
    </row>
    <row r="11" spans="2:22" x14ac:dyDescent="0.35">
      <c r="E11" s="188" t="s">
        <v>193</v>
      </c>
      <c r="F11" s="188"/>
      <c r="G11" s="188"/>
      <c r="H11" s="188"/>
      <c r="P11" s="188" t="s">
        <v>194</v>
      </c>
      <c r="Q11" s="188"/>
      <c r="R11" s="188"/>
      <c r="S11" s="188"/>
    </row>
    <row r="12" spans="2:22" x14ac:dyDescent="0.35">
      <c r="E12" s="188"/>
      <c r="F12" s="188"/>
      <c r="G12" s="188"/>
      <c r="H12" s="188"/>
      <c r="P12" s="188"/>
      <c r="Q12" s="188"/>
      <c r="R12" s="188"/>
      <c r="S12" s="188"/>
    </row>
  </sheetData>
  <mergeCells count="7">
    <mergeCell ref="E11:H12"/>
    <mergeCell ref="S9:T9"/>
    <mergeCell ref="P11:S12"/>
    <mergeCell ref="E9:F9"/>
    <mergeCell ref="E2:F2"/>
    <mergeCell ref="H9:I9"/>
    <mergeCell ref="H4:I4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EARTHQUAKE</vt:lpstr>
      <vt:lpstr>Load Combinations</vt:lpstr>
      <vt:lpstr>LRB ISOLATORS PRE. DESIGN (DE)</vt:lpstr>
      <vt:lpstr>Interpolation</vt:lpstr>
      <vt:lpstr>Interpolation!Print_Area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Alzahrani</dc:creator>
  <cp:lastModifiedBy>Ahmad Alzahrani</cp:lastModifiedBy>
  <cp:lastPrinted>2023-04-30T12:36:14Z</cp:lastPrinted>
  <dcterms:created xsi:type="dcterms:W3CDTF">2023-04-30T10:14:05Z</dcterms:created>
  <dcterms:modified xsi:type="dcterms:W3CDTF">2023-08-02T18:51:34Z</dcterms:modified>
</cp:coreProperties>
</file>